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532" windowHeight="6756" tabRatio="745" activeTab="0"/>
  </bookViews>
  <sheets>
    <sheet name="Vorlage" sheetId="1" r:id="rId1"/>
  </sheets>
  <definedNames>
    <definedName name="_xlnm.Print_Titles" localSheetId="0">'Vorlage'!$1:$9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.</author>
    <author>Markus Koch</author>
    <author>Urs Holliger</author>
  </authors>
  <commentList>
    <comment ref="D12" authorId="0">
      <text>
        <r>
          <rPr>
            <sz val="8"/>
            <rFont val="Tahoma"/>
            <family val="0"/>
          </rPr>
          <t>Abfluss VKB
ohne Rückläufe</t>
        </r>
      </text>
    </comment>
    <comment ref="D13" authorId="0">
      <text>
        <r>
          <rPr>
            <sz val="8"/>
            <rFont val="Tahoma"/>
            <family val="0"/>
          </rPr>
          <t>Abfluss VKB ohne Rückläufe</t>
        </r>
      </text>
    </comment>
    <comment ref="D14" authorId="0">
      <text>
        <r>
          <rPr>
            <sz val="8"/>
            <rFont val="Tahoma"/>
            <family val="0"/>
          </rPr>
          <t>Abfluss VKB
ohne Rückläufe</t>
        </r>
      </text>
    </comment>
    <comment ref="D37" authorId="0">
      <text>
        <r>
          <rPr>
            <sz val="8"/>
            <rFont val="Tahoma"/>
            <family val="0"/>
          </rPr>
          <t>Trockenrückstand des Fremdschlamms</t>
        </r>
      </text>
    </comment>
    <comment ref="D39" authorId="0">
      <text>
        <r>
          <rPr>
            <sz val="8"/>
            <rFont val="Tahoma"/>
            <family val="0"/>
          </rPr>
          <t xml:space="preserve">Trockenrückstand Frischlamm total
</t>
        </r>
      </text>
    </comment>
    <comment ref="D43" authorId="0">
      <text>
        <r>
          <rPr>
            <sz val="8"/>
            <rFont val="Tahoma"/>
            <family val="0"/>
          </rPr>
          <t xml:space="preserve">Überprüfung TR Gehalt
</t>
        </r>
      </text>
    </comment>
    <comment ref="B47" authorId="0">
      <text>
        <r>
          <rPr>
            <sz val="8"/>
            <rFont val="Tahoma"/>
            <family val="0"/>
          </rPr>
          <t xml:space="preserve">Wenn kein Wert, dann 70 % eingeben
</t>
        </r>
      </text>
    </comment>
    <comment ref="C47" authorId="0">
      <text>
        <r>
          <rPr>
            <sz val="8"/>
            <rFont val="Tahoma"/>
            <family val="0"/>
          </rPr>
          <t xml:space="preserve">TR = Trockenrückstand
</t>
        </r>
      </text>
    </comment>
    <comment ref="B49" authorId="0">
      <text>
        <r>
          <rPr>
            <sz val="8"/>
            <rFont val="Tahoma"/>
            <family val="0"/>
          </rPr>
          <t>t org. Frischschlamm total minus t org. stabilisierter Schlamm</t>
        </r>
      </text>
    </comment>
    <comment ref="B29" authorId="1">
      <text>
        <r>
          <rPr>
            <sz val="8"/>
            <rFont val="Tahoma"/>
            <family val="0"/>
          </rPr>
          <t>85 % aller Trockenwettertage (Trockenwettertage sind Tage ohne Niederschlag ab 3. Tag nach Ende Niederschlag)</t>
        </r>
      </text>
    </comment>
    <comment ref="B31" authorId="0">
      <text>
        <r>
          <rPr>
            <sz val="8"/>
            <rFont val="Tahoma"/>
            <family val="0"/>
          </rPr>
          <t>Mittelwert der Trockenwettertage</t>
        </r>
      </text>
    </comment>
    <comment ref="B32" authorId="0">
      <text>
        <r>
          <rPr>
            <sz val="8"/>
            <rFont val="Tahoma"/>
            <family val="0"/>
          </rPr>
          <t xml:space="preserve">Spitzenwerte
</t>
        </r>
      </text>
    </comment>
    <comment ref="D32" authorId="0">
      <text>
        <r>
          <rPr>
            <sz val="8"/>
            <rFont val="Tahoma"/>
            <family val="0"/>
          </rPr>
          <t>2 QTW gemäss ARA Dimensionierung</t>
        </r>
      </text>
    </comment>
    <comment ref="D67" authorId="1">
      <text>
        <r>
          <rPr>
            <sz val="8"/>
            <rFont val="Tahoma"/>
            <family val="0"/>
          </rPr>
          <t>Mittelwert aus BSB- und N-Belastung plus E</t>
        </r>
      </text>
    </comment>
    <comment ref="D71" authorId="1">
      <text>
        <r>
          <rPr>
            <sz val="8"/>
            <rFont val="Tahoma"/>
            <family val="0"/>
          </rPr>
          <t>l Gas pro kg org. TS abgebaut</t>
        </r>
      </text>
    </comment>
    <comment ref="G72" authorId="1">
      <text>
        <r>
          <rPr>
            <sz val="8"/>
            <rFont val="Tahoma"/>
            <family val="0"/>
          </rPr>
          <t>spez. Wert ohne Industrie und Gewerbe</t>
        </r>
      </text>
    </comment>
    <comment ref="G74" authorId="0">
      <text>
        <r>
          <rPr>
            <sz val="8"/>
            <rFont val="Tahoma"/>
            <family val="0"/>
          </rPr>
          <t>Anteil in % der Gesamtproduktion</t>
        </r>
      </text>
    </comment>
    <comment ref="G75" authorId="0">
      <text>
        <r>
          <rPr>
            <sz val="8"/>
            <rFont val="Tahoma"/>
            <family val="0"/>
          </rPr>
          <t>Anteil in % der Gesamtproduktion</t>
        </r>
      </text>
    </comment>
    <comment ref="G76" authorId="0">
      <text>
        <r>
          <rPr>
            <sz val="8"/>
            <rFont val="Tahoma"/>
            <family val="0"/>
          </rPr>
          <t>Anteil in % der Gesamtproduktion</t>
        </r>
      </text>
    </comment>
    <comment ref="B71" authorId="2">
      <text>
        <r>
          <rPr>
            <sz val="8"/>
            <rFont val="Tahoma"/>
            <family val="0"/>
          </rPr>
          <t xml:space="preserve">Fracht organisch Frischschlamm minus Fracht organisch Faulschlamm
</t>
        </r>
      </text>
    </comment>
    <comment ref="B63" authorId="0">
      <text>
        <r>
          <rPr>
            <sz val="8"/>
            <rFont val="Tahoma"/>
            <family val="0"/>
          </rPr>
          <t>Auf Grund berechnetem Sauerstoffbedarf</t>
        </r>
      </text>
    </comment>
    <comment ref="A19" authorId="0">
      <text>
        <r>
          <rPr>
            <sz val="8"/>
            <rFont val="Tahoma"/>
            <family val="0"/>
          </rPr>
          <t>Abfluss Vorklärbecken ohne Rückläufe</t>
        </r>
      </text>
    </comment>
    <comment ref="A20" authorId="0">
      <text>
        <r>
          <rPr>
            <sz val="8"/>
            <rFont val="Tahoma"/>
            <family val="0"/>
          </rPr>
          <t xml:space="preserve">Abfluss Vorklärbecken ohne Rückläufe
</t>
        </r>
      </text>
    </comment>
    <comment ref="A21" authorId="0">
      <text>
        <r>
          <rPr>
            <sz val="8"/>
            <rFont val="Tahoma"/>
            <family val="0"/>
          </rPr>
          <t>Abfluss Vorklärbecken ohne Rückläufe</t>
        </r>
      </text>
    </comment>
    <comment ref="B28" authorId="3">
      <text>
        <r>
          <rPr>
            <sz val="8"/>
            <rFont val="Tahoma"/>
            <family val="0"/>
          </rPr>
          <t xml:space="preserve">ohne allfällige Zwischenentlastungen
</t>
        </r>
      </text>
    </comment>
    <comment ref="B83" authorId="3">
      <text>
        <r>
          <rPr>
            <sz val="8"/>
            <rFont val="Tahoma"/>
            <family val="2"/>
          </rPr>
          <t>gemäss Einleitungsbewilligung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0"/>
          </rPr>
          <t xml:space="preserve">Zellen mit einer roten Ecke oben rechts enthalten Informationen
</t>
        </r>
      </text>
    </comment>
  </commentList>
</comments>
</file>

<file path=xl/sharedStrings.xml><?xml version="1.0" encoding="utf-8"?>
<sst xmlns="http://schemas.openxmlformats.org/spreadsheetml/2006/main" count="173" uniqueCount="116">
  <si>
    <t>Überprüfung</t>
  </si>
  <si>
    <t>Bemerkungen</t>
  </si>
  <si>
    <t>zu viel</t>
  </si>
  <si>
    <t>zu wenig</t>
  </si>
  <si>
    <t>%</t>
  </si>
  <si>
    <t>E</t>
  </si>
  <si>
    <t>EW</t>
  </si>
  <si>
    <t xml:space="preserve">Stromerzeugung total                       </t>
  </si>
  <si>
    <t>Stromverkauf</t>
  </si>
  <si>
    <t>Stromverbrauch für Belüftungsbecken</t>
  </si>
  <si>
    <t>Stromverbrauch für Abwasserpumpw. in ARA</t>
  </si>
  <si>
    <t>Faulgasverbrauch Heizung</t>
  </si>
  <si>
    <t>Faulgasverbrauch Gasmotor</t>
  </si>
  <si>
    <t>Abfackelung</t>
  </si>
  <si>
    <t>Heizölverbrauch total</t>
  </si>
  <si>
    <t>Erdgasverbrauch total</t>
  </si>
  <si>
    <t>% vom gesamt</t>
  </si>
  <si>
    <t xml:space="preserve">Totaler Sauerstoffbedarf </t>
  </si>
  <si>
    <t>E = natürliche Einwohner</t>
  </si>
  <si>
    <t>max.</t>
  </si>
  <si>
    <t>min.</t>
  </si>
  <si>
    <t>spez. Wert</t>
  </si>
  <si>
    <t>Abwassermenge (85 % aller Trockenwettertage)</t>
  </si>
  <si>
    <t>Einheit</t>
  </si>
  <si>
    <t>N-Fracht (85%-Wert)</t>
  </si>
  <si>
    <t>P-Fracht (85%-Wert)</t>
  </si>
  <si>
    <t>Eingabe Betriebsdaten</t>
  </si>
  <si>
    <t>Faulgasverbrauch total (nur Verbrauch)</t>
  </si>
  <si>
    <t>% vom TR</t>
  </si>
  <si>
    <t>Frischschlamm total</t>
  </si>
  <si>
    <t>TR % vom NG</t>
  </si>
  <si>
    <t>Strombezug vom Elektrizitätswerk</t>
  </si>
  <si>
    <t>Grösse</t>
  </si>
  <si>
    <t>Differenz zwischen gemessenem und berechnetem Stromverbrauch Belüftungsbecken</t>
  </si>
  <si>
    <t>Plausibilisierungsgrösse</t>
  </si>
  <si>
    <t>Differenz</t>
  </si>
  <si>
    <t xml:space="preserve">Differenz    </t>
  </si>
  <si>
    <t>Abwasser</t>
  </si>
  <si>
    <t>Schlamm</t>
  </si>
  <si>
    <t>Belastung</t>
  </si>
  <si>
    <t>Energie Strom</t>
  </si>
  <si>
    <t>Energie Gas</t>
  </si>
  <si>
    <t>Plausibilisiergsgrö.</t>
  </si>
  <si>
    <t>Faulgaserzeugung total</t>
  </si>
  <si>
    <t>Restmenge Ende Vorjahr im Stapelbehälter</t>
  </si>
  <si>
    <r>
      <t>EGW ermittelt mit BSB</t>
    </r>
    <r>
      <rPr>
        <vertAlign val="subscript"/>
        <sz val="8"/>
        <rFont val="Arial"/>
        <family val="2"/>
      </rPr>
      <t>5</t>
    </r>
  </si>
  <si>
    <t>EGW ermittelt mit P</t>
  </si>
  <si>
    <t>Total EW anhand der P-Fracht</t>
  </si>
  <si>
    <t>EGW</t>
  </si>
  <si>
    <t>Wassermenge Maximum (z.B. Mittel von 10 min.)</t>
  </si>
  <si>
    <r>
      <t>Stromverbrauch pro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gereinigtem Abwasser</t>
    </r>
  </si>
  <si>
    <r>
      <t>m</t>
    </r>
    <r>
      <rPr>
        <vertAlign val="superscript"/>
        <sz val="8"/>
        <rFont val="Arial"/>
        <family val="2"/>
      </rPr>
      <t>3</t>
    </r>
  </si>
  <si>
    <t>Fällmittelverbrauch</t>
  </si>
  <si>
    <r>
      <t>EGW ermittelt mit 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-N</t>
    </r>
  </si>
  <si>
    <r>
      <t>Total EW anhand der 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-N-Fracht</t>
    </r>
  </si>
  <si>
    <t>Berechnete Betriebsdaten</t>
  </si>
  <si>
    <t>Spezifischer Wert</t>
  </si>
  <si>
    <r>
      <t>BSB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-Fracht (85%-Wert)</t>
    </r>
  </si>
  <si>
    <r>
      <t>kg BSB</t>
    </r>
    <r>
      <rPr>
        <vertAlign val="subscript"/>
        <sz val="8"/>
        <rFont val="Arial"/>
        <family val="2"/>
      </rPr>
      <t xml:space="preserve">5 </t>
    </r>
    <r>
      <rPr>
        <sz val="8"/>
        <rFont val="Arial"/>
        <family val="2"/>
      </rPr>
      <t>/ d</t>
    </r>
  </si>
  <si>
    <r>
      <t>kg 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-N / d</t>
    </r>
  </si>
  <si>
    <t>kg P / d</t>
  </si>
  <si>
    <r>
      <t>kg 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d</t>
    </r>
  </si>
  <si>
    <r>
      <t>g 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g BSB</t>
    </r>
    <r>
      <rPr>
        <vertAlign val="subscript"/>
        <sz val="8"/>
        <rFont val="Arial"/>
        <family val="2"/>
      </rPr>
      <t>5</t>
    </r>
  </si>
  <si>
    <r>
      <t>g 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g 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-N</t>
    </r>
  </si>
  <si>
    <t>Berechneter Sauerstoffbedarf für C-Abbau</t>
  </si>
  <si>
    <t>Berechneter Sauerstoffbedarf für Nitrifikation</t>
  </si>
  <si>
    <t>Eigener Frischschlamm</t>
  </si>
  <si>
    <t>Eigene stabilisierte Schlammenge</t>
  </si>
  <si>
    <t>Stabilisierter Schlamm total</t>
  </si>
  <si>
    <t>Org. Anteil Frischlamm (siehe Kommentar)</t>
  </si>
  <si>
    <t>Org. Anteil Faulschlamm</t>
  </si>
  <si>
    <t>Org. abgebaut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</si>
  <si>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a</t>
    </r>
  </si>
  <si>
    <t>t TS / a</t>
  </si>
  <si>
    <t>Gesamte biologisch behandelte Abwassermenge</t>
  </si>
  <si>
    <r>
      <t>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/ d</t>
    </r>
  </si>
  <si>
    <t>l / s</t>
  </si>
  <si>
    <r>
      <t>l / s (2 Q</t>
    </r>
    <r>
      <rPr>
        <vertAlign val="subscript"/>
        <sz val="8"/>
        <rFont val="Arial"/>
        <family val="2"/>
      </rPr>
      <t>TW</t>
    </r>
    <r>
      <rPr>
        <sz val="8"/>
        <rFont val="Arial"/>
        <family val="2"/>
      </rPr>
      <t>)</t>
    </r>
  </si>
  <si>
    <t>kWh / a</t>
  </si>
  <si>
    <r>
      <t>kWh /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Gas</t>
    </r>
  </si>
  <si>
    <r>
      <t>kg O</t>
    </r>
    <r>
      <rPr>
        <vertAlign val="sub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/ kWh</t>
    </r>
  </si>
  <si>
    <r>
      <t>kWh / m</t>
    </r>
    <r>
      <rPr>
        <vertAlign val="superscript"/>
        <sz val="8"/>
        <rFont val="Arial"/>
        <family val="2"/>
      </rPr>
      <t>3</t>
    </r>
  </si>
  <si>
    <t>l / kg org TS</t>
  </si>
  <si>
    <t>t org TS</t>
  </si>
  <si>
    <r>
      <t>m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/ a</t>
    </r>
  </si>
  <si>
    <t>t / a</t>
  </si>
  <si>
    <t>mg Fe / mg P</t>
  </si>
  <si>
    <t>mg Al / mg P</t>
  </si>
  <si>
    <r>
      <t>g BSB</t>
    </r>
    <r>
      <rPr>
        <vertAlign val="subscript"/>
        <sz val="8"/>
        <rFont val="Arial"/>
        <family val="2"/>
      </rPr>
      <t xml:space="preserve">5 </t>
    </r>
    <r>
      <rPr>
        <sz val="8"/>
        <rFont val="Arial"/>
        <family val="2"/>
      </rPr>
      <t>/ (EW · d)</t>
    </r>
  </si>
  <si>
    <r>
      <t>g 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-N / (EW · d)</t>
    </r>
  </si>
  <si>
    <t>g P / (EW · d)</t>
  </si>
  <si>
    <t>l / (EW · d)</t>
  </si>
  <si>
    <t>g / (EW · d)</t>
  </si>
  <si>
    <t>l / (E · d)</t>
  </si>
  <si>
    <t>l / (1000 E · s)</t>
  </si>
  <si>
    <t>kWh / (E · a)</t>
  </si>
  <si>
    <t>kWh / (EW · a)</t>
  </si>
  <si>
    <t>l / (E · a)</t>
  </si>
  <si>
    <t>kg / a</t>
  </si>
  <si>
    <t>Berechneter Stromverbr. für Belüftungsbecken</t>
  </si>
  <si>
    <t>Plausibilisierung der ARA-Betriebsdaten</t>
  </si>
  <si>
    <t>Zu erwartende Faulgasproduktion (org. abgebaut)</t>
  </si>
  <si>
    <t>Fällung mit Eisen: Fe-Metallfracht</t>
  </si>
  <si>
    <t>Fällung mit Aluminium: Al-Metallfracht</t>
  </si>
  <si>
    <t xml:space="preserve">EGW = Einwohnergleichwerte aus Industrie und Gewerbe </t>
  </si>
  <si>
    <t>EW = E + EGW = totale Einwohnerwerte</t>
  </si>
  <si>
    <r>
      <t>Total EW anhand der BSB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-Fracht</t>
    </r>
  </si>
  <si>
    <t>Wassermenge Minimum (z.B. Mittel von 10 min.)</t>
  </si>
  <si>
    <t>Stromverbrauch total</t>
  </si>
  <si>
    <t>Grenzwert P im Abfluss ARA</t>
  </si>
  <si>
    <r>
      <t>mg P</t>
    </r>
    <r>
      <rPr>
        <vertAlign val="subscript"/>
        <sz val="8"/>
        <rFont val="Arial"/>
        <family val="2"/>
      </rPr>
      <t>ges</t>
    </r>
    <r>
      <rPr>
        <sz val="8"/>
        <rFont val="Arial"/>
        <family val="2"/>
      </rPr>
      <t xml:space="preserve"> / l</t>
    </r>
  </si>
  <si>
    <t>Annahme fremder Frischschlamm</t>
  </si>
  <si>
    <t>Annahme fremder stabilisierter Schlamm</t>
  </si>
  <si>
    <t xml:space="preserve">Restmenge aktuelles Jahr im Stapelbehälter   </t>
  </si>
  <si>
    <t>Fahren Sie mit der Maus auf diese Zelle</t>
  </si>
  <si>
    <t>Version 4 / 15.5.2007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</si>
</sst>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"/>
    <numFmt numFmtId="171" formatCode="0.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"/>
    <numFmt numFmtId="177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3" fontId="4" fillId="0" borderId="4" xfId="0" applyNumberFormat="1" applyFont="1" applyBorder="1" applyAlignment="1" applyProtection="1">
      <alignment/>
      <protection/>
    </xf>
    <xf numFmtId="3" fontId="4" fillId="0" borderId="5" xfId="0" applyNumberFormat="1" applyFont="1" applyBorder="1" applyAlignment="1" applyProtection="1">
      <alignment/>
      <protection/>
    </xf>
    <xf numFmtId="3" fontId="4" fillId="0" borderId="6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3" fontId="4" fillId="0" borderId="7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4" fillId="0" borderId="2" xfId="0" applyNumberFormat="1" applyFont="1" applyFill="1" applyBorder="1" applyAlignment="1" applyProtection="1">
      <alignment/>
      <protection/>
    </xf>
    <xf numFmtId="3" fontId="4" fillId="0" borderId="8" xfId="0" applyNumberFormat="1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4" fillId="0" borderId="7" xfId="0" applyNumberFormat="1" applyFont="1" applyFill="1" applyBorder="1" applyAlignment="1" applyProtection="1">
      <alignment/>
      <protection/>
    </xf>
    <xf numFmtId="3" fontId="4" fillId="0" borderId="8" xfId="0" applyNumberFormat="1" applyFont="1" applyFill="1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4" fillId="0" borderId="9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6" xfId="0" applyBorder="1" applyAlignment="1" applyProtection="1">
      <alignment/>
      <protection/>
    </xf>
    <xf numFmtId="0" fontId="4" fillId="0" borderId="11" xfId="0" applyFont="1" applyBorder="1" applyAlignment="1" applyProtection="1">
      <alignment wrapText="1"/>
      <protection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4" fillId="2" borderId="0" xfId="0" applyNumberFormat="1" applyFont="1" applyFill="1" applyAlignment="1" applyProtection="1">
      <alignment/>
      <protection/>
    </xf>
    <xf numFmtId="2" fontId="4" fillId="3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Border="1" applyAlignment="1" applyProtection="1">
      <alignment/>
      <protection/>
    </xf>
    <xf numFmtId="0" fontId="4" fillId="5" borderId="0" xfId="0" applyFont="1" applyFill="1" applyAlignment="1" applyProtection="1">
      <alignment/>
      <protection/>
    </xf>
    <xf numFmtId="3" fontId="4" fillId="6" borderId="3" xfId="0" applyNumberFormat="1" applyFont="1" applyFill="1" applyBorder="1" applyAlignment="1" applyProtection="1">
      <alignment/>
      <protection locked="0"/>
    </xf>
    <xf numFmtId="3" fontId="4" fillId="4" borderId="5" xfId="0" applyNumberFormat="1" applyFont="1" applyFill="1" applyBorder="1" applyAlignment="1" applyProtection="1">
      <alignment/>
      <protection/>
    </xf>
    <xf numFmtId="3" fontId="4" fillId="4" borderId="7" xfId="0" applyNumberFormat="1" applyFont="1" applyFill="1" applyBorder="1" applyAlignment="1" applyProtection="1">
      <alignment/>
      <protection/>
    </xf>
    <xf numFmtId="2" fontId="4" fillId="7" borderId="0" xfId="0" applyNumberFormat="1" applyFont="1" applyFill="1" applyBorder="1" applyAlignment="1" applyProtection="1">
      <alignment/>
      <protection/>
    </xf>
    <xf numFmtId="3" fontId="4" fillId="7" borderId="0" xfId="0" applyNumberFormat="1" applyFont="1" applyFill="1" applyBorder="1" applyAlignment="1" applyProtection="1">
      <alignment/>
      <protection/>
    </xf>
    <xf numFmtId="3" fontId="4" fillId="8" borderId="7" xfId="0" applyNumberFormat="1" applyFont="1" applyFill="1" applyBorder="1" applyAlignment="1" applyProtection="1">
      <alignment/>
      <protection/>
    </xf>
    <xf numFmtId="3" fontId="4" fillId="8" borderId="8" xfId="0" applyNumberFormat="1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3" fontId="4" fillId="2" borderId="0" xfId="0" applyNumberFormat="1" applyFont="1" applyFill="1" applyAlignment="1" applyProtection="1">
      <alignment/>
      <protection/>
    </xf>
    <xf numFmtId="3" fontId="9" fillId="2" borderId="0" xfId="0" applyNumberFormat="1" applyFont="1" applyFill="1" applyAlignment="1" applyProtection="1">
      <alignment horizontal="left"/>
      <protection/>
    </xf>
    <xf numFmtId="1" fontId="4" fillId="9" borderId="5" xfId="0" applyNumberFormat="1" applyFont="1" applyFill="1" applyBorder="1" applyAlignment="1" applyProtection="1">
      <alignment/>
      <protection/>
    </xf>
    <xf numFmtId="2" fontId="4" fillId="9" borderId="7" xfId="0" applyNumberFormat="1" applyFont="1" applyFill="1" applyBorder="1" applyAlignment="1" applyProtection="1">
      <alignment/>
      <protection/>
    </xf>
    <xf numFmtId="3" fontId="4" fillId="6" borderId="5" xfId="0" applyNumberFormat="1" applyFont="1" applyFill="1" applyBorder="1" applyAlignment="1" applyProtection="1">
      <alignment/>
      <protection locked="0"/>
    </xf>
    <xf numFmtId="3" fontId="4" fillId="6" borderId="7" xfId="0" applyNumberFormat="1" applyFont="1" applyFill="1" applyBorder="1" applyAlignment="1" applyProtection="1">
      <alignment/>
      <protection locked="0"/>
    </xf>
    <xf numFmtId="3" fontId="4" fillId="10" borderId="3" xfId="0" applyNumberFormat="1" applyFont="1" applyFill="1" applyBorder="1" applyAlignment="1" applyProtection="1">
      <alignment/>
      <protection/>
    </xf>
    <xf numFmtId="3" fontId="4" fillId="10" borderId="5" xfId="0" applyNumberFormat="1" applyFont="1" applyFill="1" applyBorder="1" applyAlignment="1" applyProtection="1">
      <alignment/>
      <protection/>
    </xf>
    <xf numFmtId="3" fontId="4" fillId="10" borderId="7" xfId="0" applyNumberFormat="1" applyFont="1" applyFill="1" applyBorder="1" applyAlignment="1" applyProtection="1">
      <alignment/>
      <protection/>
    </xf>
    <xf numFmtId="1" fontId="4" fillId="6" borderId="5" xfId="0" applyNumberFormat="1" applyFont="1" applyFill="1" applyBorder="1" applyAlignment="1" applyProtection="1">
      <alignment/>
      <protection locked="0"/>
    </xf>
    <xf numFmtId="2" fontId="4" fillId="0" borderId="6" xfId="0" applyNumberFormat="1" applyFont="1" applyFill="1" applyBorder="1" applyAlignment="1" applyProtection="1">
      <alignment/>
      <protection/>
    </xf>
    <xf numFmtId="1" fontId="4" fillId="0" borderId="8" xfId="0" applyNumberFormat="1" applyFont="1" applyFill="1" applyBorder="1" applyAlignment="1" applyProtection="1">
      <alignment/>
      <protection/>
    </xf>
    <xf numFmtId="3" fontId="4" fillId="4" borderId="5" xfId="0" applyNumberFormat="1" applyFont="1" applyFill="1" applyBorder="1" applyAlignment="1" applyProtection="1">
      <alignment wrapText="1"/>
      <protection/>
    </xf>
    <xf numFmtId="3" fontId="4" fillId="4" borderId="3" xfId="0" applyNumberFormat="1" applyFont="1" applyFill="1" applyBorder="1" applyAlignment="1" applyProtection="1">
      <alignment/>
      <protection/>
    </xf>
    <xf numFmtId="2" fontId="4" fillId="6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 applyProtection="1">
      <alignment/>
      <protection/>
    </xf>
    <xf numFmtId="2" fontId="4" fillId="5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 horizontal="left"/>
      <protection/>
    </xf>
    <xf numFmtId="3" fontId="4" fillId="0" borderId="16" xfId="0" applyNumberFormat="1" applyFont="1" applyBorder="1" applyAlignment="1" applyProtection="1">
      <alignment horizontal="left"/>
      <protection/>
    </xf>
    <xf numFmtId="3" fontId="4" fillId="0" borderId="17" xfId="0" applyNumberFormat="1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19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5" borderId="12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4" fillId="9" borderId="12" xfId="0" applyNumberFormat="1" applyFont="1" applyFill="1" applyBorder="1" applyAlignment="1" applyProtection="1">
      <alignment/>
      <protection/>
    </xf>
    <xf numFmtId="171" fontId="4" fillId="3" borderId="18" xfId="0" applyNumberFormat="1" applyFont="1" applyFill="1" applyBorder="1" applyAlignment="1" applyProtection="1">
      <alignment/>
      <protection/>
    </xf>
    <xf numFmtId="1" fontId="4" fillId="9" borderId="13" xfId="0" applyNumberFormat="1" applyFont="1" applyFill="1" applyBorder="1" applyAlignment="1" applyProtection="1">
      <alignment/>
      <protection/>
    </xf>
    <xf numFmtId="1" fontId="4" fillId="3" borderId="19" xfId="0" applyNumberFormat="1" applyFont="1" applyFill="1" applyBorder="1" applyAlignment="1" applyProtection="1">
      <alignment/>
      <protection/>
    </xf>
    <xf numFmtId="2" fontId="4" fillId="9" borderId="13" xfId="0" applyNumberFormat="1" applyFont="1" applyFill="1" applyBorder="1" applyAlignment="1" applyProtection="1">
      <alignment/>
      <protection/>
    </xf>
    <xf numFmtId="171" fontId="4" fillId="3" borderId="19" xfId="0" applyNumberFormat="1" applyFont="1" applyFill="1" applyBorder="1" applyAlignment="1" applyProtection="1">
      <alignment/>
      <protection/>
    </xf>
    <xf numFmtId="2" fontId="4" fillId="7" borderId="13" xfId="0" applyNumberFormat="1" applyFont="1" applyFill="1" applyBorder="1" applyAlignment="1" applyProtection="1">
      <alignment/>
      <protection/>
    </xf>
    <xf numFmtId="2" fontId="4" fillId="7" borderId="19" xfId="0" applyNumberFormat="1" applyFont="1" applyFill="1" applyBorder="1" applyAlignment="1" applyProtection="1">
      <alignment/>
      <protection/>
    </xf>
    <xf numFmtId="2" fontId="4" fillId="3" borderId="19" xfId="0" applyNumberFormat="1" applyFont="1" applyFill="1" applyBorder="1" applyAlignment="1" applyProtection="1">
      <alignment/>
      <protection/>
    </xf>
    <xf numFmtId="1" fontId="4" fillId="11" borderId="19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 horizontal="left"/>
      <protection/>
    </xf>
    <xf numFmtId="1" fontId="4" fillId="9" borderId="12" xfId="0" applyNumberFormat="1" applyFont="1" applyFill="1" applyBorder="1" applyAlignment="1" applyProtection="1">
      <alignment/>
      <protection/>
    </xf>
    <xf numFmtId="1" fontId="4" fillId="3" borderId="18" xfId="0" applyNumberFormat="1" applyFont="1" applyFill="1" applyBorder="1" applyAlignment="1" applyProtection="1">
      <alignment/>
      <protection/>
    </xf>
    <xf numFmtId="171" fontId="4" fillId="9" borderId="13" xfId="0" applyNumberFormat="1" applyFont="1" applyFill="1" applyBorder="1" applyAlignment="1" applyProtection="1">
      <alignment/>
      <protection/>
    </xf>
    <xf numFmtId="3" fontId="4" fillId="3" borderId="20" xfId="0" applyNumberFormat="1" applyFont="1" applyFill="1" applyBorder="1" applyAlignment="1" applyProtection="1">
      <alignment/>
      <protection/>
    </xf>
    <xf numFmtId="1" fontId="4" fillId="7" borderId="13" xfId="0" applyNumberFormat="1" applyFont="1" applyFill="1" applyBorder="1" applyAlignment="1" applyProtection="1">
      <alignment/>
      <protection/>
    </xf>
    <xf numFmtId="1" fontId="4" fillId="7" borderId="19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left"/>
      <protection/>
    </xf>
    <xf numFmtId="2" fontId="4" fillId="0" borderId="16" xfId="0" applyNumberFormat="1" applyFont="1" applyFill="1" applyBorder="1" applyAlignment="1" applyProtection="1">
      <alignment horizontal="left" wrapText="1"/>
      <protection/>
    </xf>
    <xf numFmtId="3" fontId="4" fillId="3" borderId="19" xfId="0" applyNumberFormat="1" applyFont="1" applyFill="1" applyBorder="1" applyAlignment="1" applyProtection="1">
      <alignment/>
      <protection/>
    </xf>
    <xf numFmtId="2" fontId="4" fillId="9" borderId="14" xfId="0" applyNumberFormat="1" applyFont="1" applyFill="1" applyBorder="1" applyAlignment="1" applyProtection="1">
      <alignment/>
      <protection/>
    </xf>
    <xf numFmtId="4" fontId="4" fillId="3" borderId="20" xfId="0" applyNumberFormat="1" applyFont="1" applyFill="1" applyBorder="1" applyAlignment="1" applyProtection="1">
      <alignment/>
      <protection/>
    </xf>
    <xf numFmtId="1" fontId="4" fillId="5" borderId="12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 horizontal="left"/>
      <protection/>
    </xf>
    <xf numFmtId="2" fontId="4" fillId="3" borderId="20" xfId="0" applyNumberFormat="1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/>
      <protection/>
    </xf>
    <xf numFmtId="2" fontId="4" fillId="11" borderId="18" xfId="0" applyNumberFormat="1" applyFont="1" applyFill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1" fontId="4" fillId="12" borderId="7" xfId="0" applyNumberFormat="1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3" fontId="4" fillId="11" borderId="19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176" fontId="4" fillId="6" borderId="7" xfId="0" applyNumberFormat="1" applyFont="1" applyFill="1" applyBorder="1" applyAlignment="1" applyProtection="1">
      <alignment/>
      <protection locked="0"/>
    </xf>
    <xf numFmtId="3" fontId="4" fillId="13" borderId="3" xfId="0" applyNumberFormat="1" applyFont="1" applyFill="1" applyBorder="1" applyAlignment="1" applyProtection="1">
      <alignment/>
      <protection/>
    </xf>
    <xf numFmtId="3" fontId="4" fillId="13" borderId="4" xfId="0" applyNumberFormat="1" applyFont="1" applyFill="1" applyBorder="1" applyAlignment="1" applyProtection="1">
      <alignment/>
      <protection/>
    </xf>
    <xf numFmtId="3" fontId="4" fillId="13" borderId="5" xfId="0" applyNumberFormat="1" applyFont="1" applyFill="1" applyBorder="1" applyAlignment="1" applyProtection="1">
      <alignment/>
      <protection/>
    </xf>
    <xf numFmtId="3" fontId="4" fillId="13" borderId="6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4" fillId="0" borderId="1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2" fontId="4" fillId="3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71" fontId="4" fillId="6" borderId="5" xfId="0" applyNumberFormat="1" applyFont="1" applyFill="1" applyBorder="1" applyAlignment="1" applyProtection="1">
      <alignment/>
      <protection locked="0"/>
    </xf>
    <xf numFmtId="171" fontId="4" fillId="9" borderId="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" fontId="4" fillId="9" borderId="5" xfId="0" applyNumberFormat="1" applyFont="1" applyFill="1" applyBorder="1" applyAlignment="1" applyProtection="1">
      <alignment/>
      <protection/>
    </xf>
    <xf numFmtId="2" fontId="4" fillId="3" borderId="2" xfId="0" applyNumberFormat="1" applyFont="1" applyFill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1" fontId="4" fillId="6" borderId="7" xfId="0" applyNumberFormat="1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3" fontId="4" fillId="6" borderId="14" xfId="0" applyNumberFormat="1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1" fontId="4" fillId="0" borderId="19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4" xfId="0" applyFont="1" applyBorder="1" applyAlignment="1" applyProtection="1">
      <alignment/>
      <protection locked="0"/>
    </xf>
    <xf numFmtId="0" fontId="5" fillId="0" borderId="6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339933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56">
      <selection activeCell="B83" sqref="B83:B85"/>
    </sheetView>
  </sheetViews>
  <sheetFormatPr defaultColWidth="11.421875" defaultRowHeight="12.75"/>
  <cols>
    <col min="1" max="1" width="36.140625" style="0" customWidth="1"/>
    <col min="2" max="2" width="8.7109375" style="0" customWidth="1"/>
    <col min="3" max="3" width="11.7109375" style="0" customWidth="1"/>
    <col min="4" max="4" width="8.7109375" style="0" customWidth="1"/>
    <col min="5" max="6" width="6.7109375" style="0" customWidth="1"/>
    <col min="7" max="7" width="14.00390625" style="50" customWidth="1"/>
    <col min="8" max="8" width="6.7109375" style="0" customWidth="1"/>
    <col min="9" max="9" width="7.00390625" style="0" customWidth="1"/>
    <col min="10" max="10" width="35.28125" style="0" customWidth="1"/>
  </cols>
  <sheetData>
    <row r="1" spans="1:10" ht="18">
      <c r="A1" s="139" t="s">
        <v>100</v>
      </c>
      <c r="B1" s="9"/>
      <c r="C1" s="8"/>
      <c r="D1" s="160"/>
      <c r="E1" s="66"/>
      <c r="F1" s="66"/>
      <c r="G1" s="67"/>
      <c r="H1" s="9"/>
      <c r="I1" s="9"/>
      <c r="J1" s="164"/>
    </row>
    <row r="2" spans="1:10" ht="12.75" customHeight="1">
      <c r="A2" s="8"/>
      <c r="B2" s="11"/>
      <c r="C2" s="8"/>
      <c r="D2" s="12"/>
      <c r="E2" s="11"/>
      <c r="F2" s="11"/>
      <c r="G2" s="47"/>
      <c r="H2" s="11"/>
      <c r="I2" s="11"/>
      <c r="J2" s="164"/>
    </row>
    <row r="3" spans="1:10" ht="12.75">
      <c r="A3" s="54" t="s">
        <v>26</v>
      </c>
      <c r="B3" s="9"/>
      <c r="C3" s="9"/>
      <c r="D3" s="13" t="s">
        <v>18</v>
      </c>
      <c r="E3" s="9"/>
      <c r="F3" s="9"/>
      <c r="G3" s="47"/>
      <c r="H3" s="9"/>
      <c r="I3" s="9"/>
      <c r="J3" s="164"/>
    </row>
    <row r="4" spans="1:10" ht="12.75">
      <c r="A4" s="55" t="s">
        <v>34</v>
      </c>
      <c r="B4" s="9"/>
      <c r="C4" s="9"/>
      <c r="D4" s="13" t="s">
        <v>104</v>
      </c>
      <c r="E4" s="9"/>
      <c r="F4" s="9"/>
      <c r="G4" s="47"/>
      <c r="H4" s="9"/>
      <c r="I4" s="9"/>
      <c r="J4" s="164"/>
    </row>
    <row r="5" spans="1:10" ht="12.75">
      <c r="A5" s="56" t="s">
        <v>55</v>
      </c>
      <c r="B5" s="9"/>
      <c r="C5" s="9"/>
      <c r="D5" s="13" t="s">
        <v>105</v>
      </c>
      <c r="E5" s="3"/>
      <c r="F5" s="3"/>
      <c r="G5" s="47"/>
      <c r="H5" s="9"/>
      <c r="I5" s="9"/>
      <c r="J5" s="164"/>
    </row>
    <row r="6" spans="1:10" ht="13.5" thickBot="1">
      <c r="A6" s="57" t="s">
        <v>56</v>
      </c>
      <c r="B6" s="9"/>
      <c r="C6" s="9"/>
      <c r="D6" s="13"/>
      <c r="E6" s="3"/>
      <c r="F6" s="3"/>
      <c r="G6" s="47"/>
      <c r="H6" s="9"/>
      <c r="I6" s="9"/>
      <c r="J6" s="164"/>
    </row>
    <row r="7" spans="1:10" ht="12.75">
      <c r="A7" s="10"/>
      <c r="B7" s="37" t="s">
        <v>32</v>
      </c>
      <c r="C7" s="34" t="s">
        <v>23</v>
      </c>
      <c r="D7" s="124" t="s">
        <v>21</v>
      </c>
      <c r="E7" s="125" t="s">
        <v>42</v>
      </c>
      <c r="F7" s="125"/>
      <c r="G7" s="90" t="s">
        <v>23</v>
      </c>
      <c r="H7" s="14" t="s">
        <v>0</v>
      </c>
      <c r="I7" s="15"/>
      <c r="J7" s="165" t="s">
        <v>1</v>
      </c>
    </row>
    <row r="8" spans="1:10" ht="13.5" thickBot="1">
      <c r="A8" s="52" t="s">
        <v>114</v>
      </c>
      <c r="B8" s="35"/>
      <c r="C8" s="28"/>
      <c r="D8" s="86"/>
      <c r="E8" s="126" t="s">
        <v>19</v>
      </c>
      <c r="F8" s="126" t="s">
        <v>20</v>
      </c>
      <c r="G8" s="89"/>
      <c r="H8" s="63" t="s">
        <v>2</v>
      </c>
      <c r="I8" s="64" t="s">
        <v>3</v>
      </c>
      <c r="J8" s="166"/>
    </row>
    <row r="9" spans="1:10" ht="12.75">
      <c r="A9" s="52"/>
      <c r="B9" s="2"/>
      <c r="C9" s="2"/>
      <c r="D9" s="4"/>
      <c r="E9" s="1"/>
      <c r="F9" s="1"/>
      <c r="G9" s="48"/>
      <c r="H9" s="3"/>
      <c r="I9" s="3"/>
      <c r="J9" s="25"/>
    </row>
    <row r="10" spans="1:10" ht="13.5" thickBot="1">
      <c r="A10" s="52" t="s">
        <v>39</v>
      </c>
      <c r="B10" s="2"/>
      <c r="C10" s="2"/>
      <c r="D10" s="4"/>
      <c r="E10" s="1"/>
      <c r="F10" s="1"/>
      <c r="G10" s="48"/>
      <c r="H10" s="3"/>
      <c r="I10" s="3"/>
      <c r="J10" s="25"/>
    </row>
    <row r="11" spans="1:10" ht="12.75">
      <c r="A11" s="18" t="s">
        <v>5</v>
      </c>
      <c r="B11" s="58"/>
      <c r="C11" s="38" t="s">
        <v>5</v>
      </c>
      <c r="D11" s="83"/>
      <c r="E11" s="91"/>
      <c r="F11" s="91"/>
      <c r="G11" s="87"/>
      <c r="H11" s="5"/>
      <c r="I11" s="34"/>
      <c r="J11" s="167"/>
    </row>
    <row r="12" spans="1:10" ht="12.75">
      <c r="A12" s="20" t="s">
        <v>45</v>
      </c>
      <c r="B12" s="59">
        <f>((B19*1000)/D12)-B11</f>
        <v>0</v>
      </c>
      <c r="C12" s="17" t="s">
        <v>48</v>
      </c>
      <c r="D12" s="84">
        <v>40</v>
      </c>
      <c r="E12" s="92"/>
      <c r="F12" s="92"/>
      <c r="G12" s="88" t="s">
        <v>88</v>
      </c>
      <c r="H12" s="1"/>
      <c r="I12" s="17"/>
      <c r="J12" s="168"/>
    </row>
    <row r="13" spans="1:10" ht="12.75">
      <c r="A13" s="20" t="s">
        <v>53</v>
      </c>
      <c r="B13" s="59">
        <f>((B20*1000)/D13)-B11</f>
        <v>0</v>
      </c>
      <c r="C13" s="17" t="s">
        <v>48</v>
      </c>
      <c r="D13" s="84">
        <v>7</v>
      </c>
      <c r="E13" s="92"/>
      <c r="F13" s="92"/>
      <c r="G13" s="88" t="s">
        <v>89</v>
      </c>
      <c r="H13" s="1"/>
      <c r="I13" s="17"/>
      <c r="J13" s="168"/>
    </row>
    <row r="14" spans="1:10" ht="12.75">
      <c r="A14" s="20" t="s">
        <v>46</v>
      </c>
      <c r="B14" s="59">
        <f>((B21*1000)/D14)-B11</f>
        <v>0</v>
      </c>
      <c r="C14" s="17" t="s">
        <v>48</v>
      </c>
      <c r="D14" s="84">
        <v>1.6</v>
      </c>
      <c r="E14" s="92"/>
      <c r="F14" s="92"/>
      <c r="G14" s="88" t="s">
        <v>90</v>
      </c>
      <c r="H14" s="1"/>
      <c r="I14" s="17"/>
      <c r="J14" s="168"/>
    </row>
    <row r="15" spans="1:10" ht="12.75">
      <c r="A15" s="20" t="s">
        <v>106</v>
      </c>
      <c r="B15" s="59">
        <f>SUM(B11+B12)</f>
        <v>0</v>
      </c>
      <c r="C15" s="17" t="s">
        <v>6</v>
      </c>
      <c r="D15" s="85"/>
      <c r="E15" s="92"/>
      <c r="F15" s="92"/>
      <c r="G15" s="88"/>
      <c r="H15" s="2"/>
      <c r="I15" s="36"/>
      <c r="J15" s="168"/>
    </row>
    <row r="16" spans="1:10" ht="12.75">
      <c r="A16" s="20" t="s">
        <v>54</v>
      </c>
      <c r="B16" s="59">
        <f>SUM(B11+B13)</f>
        <v>0</v>
      </c>
      <c r="C16" s="17" t="s">
        <v>6</v>
      </c>
      <c r="D16" s="85"/>
      <c r="E16" s="92"/>
      <c r="F16" s="92"/>
      <c r="G16" s="88"/>
      <c r="H16" s="2"/>
      <c r="I16" s="36"/>
      <c r="J16" s="168"/>
    </row>
    <row r="17" spans="1:10" ht="13.5" thickBot="1">
      <c r="A17" s="21" t="s">
        <v>47</v>
      </c>
      <c r="B17" s="60">
        <f>SUM(B11+B14)</f>
        <v>0</v>
      </c>
      <c r="C17" s="27" t="s">
        <v>6</v>
      </c>
      <c r="D17" s="86"/>
      <c r="E17" s="93"/>
      <c r="F17" s="93"/>
      <c r="G17" s="89"/>
      <c r="H17" s="6"/>
      <c r="I17" s="28"/>
      <c r="J17" s="169"/>
    </row>
    <row r="18" spans="1:10" ht="13.5" thickBot="1">
      <c r="A18" s="24"/>
      <c r="B18" s="1"/>
      <c r="C18" s="1"/>
      <c r="D18" s="4"/>
      <c r="E18" s="4"/>
      <c r="F18" s="4"/>
      <c r="G18" s="48"/>
      <c r="H18" s="2"/>
      <c r="I18" s="2"/>
      <c r="J18" s="25"/>
    </row>
    <row r="19" spans="1:10" ht="12.75">
      <c r="A19" s="18" t="s">
        <v>57</v>
      </c>
      <c r="B19" s="58"/>
      <c r="C19" s="38" t="s">
        <v>58</v>
      </c>
      <c r="D19" s="83"/>
      <c r="E19" s="91"/>
      <c r="F19" s="91"/>
      <c r="G19" s="87"/>
      <c r="H19" s="37"/>
      <c r="I19" s="34"/>
      <c r="J19" s="167"/>
    </row>
    <row r="20" spans="1:10" ht="12.75">
      <c r="A20" s="20" t="s">
        <v>24</v>
      </c>
      <c r="B20" s="70"/>
      <c r="C20" s="29" t="s">
        <v>59</v>
      </c>
      <c r="D20" s="85"/>
      <c r="E20" s="92"/>
      <c r="F20" s="92"/>
      <c r="G20" s="88"/>
      <c r="H20" s="65"/>
      <c r="I20" s="36"/>
      <c r="J20" s="168"/>
    </row>
    <row r="21" spans="1:10" ht="13.5" thickBot="1">
      <c r="A21" s="21" t="s">
        <v>25</v>
      </c>
      <c r="B21" s="134"/>
      <c r="C21" s="32" t="s">
        <v>60</v>
      </c>
      <c r="D21" s="86"/>
      <c r="E21" s="93"/>
      <c r="F21" s="93"/>
      <c r="G21" s="89"/>
      <c r="H21" s="35"/>
      <c r="I21" s="28"/>
      <c r="J21" s="169"/>
    </row>
    <row r="22" spans="1:10" ht="13.5" thickBot="1">
      <c r="A22" s="24"/>
      <c r="B22" s="1"/>
      <c r="C22" s="1"/>
      <c r="D22" s="4"/>
      <c r="E22" s="4"/>
      <c r="F22" s="4"/>
      <c r="G22" s="48"/>
      <c r="H22" s="2"/>
      <c r="I22" s="2"/>
      <c r="J22" s="25"/>
    </row>
    <row r="23" spans="1:10" ht="12.75">
      <c r="A23" s="18" t="s">
        <v>64</v>
      </c>
      <c r="B23" s="72">
        <f>(B19)*D23</f>
        <v>0</v>
      </c>
      <c r="C23" s="15" t="s">
        <v>61</v>
      </c>
      <c r="D23" s="94">
        <v>1</v>
      </c>
      <c r="E23" s="95"/>
      <c r="F23" s="91"/>
      <c r="G23" s="87" t="s">
        <v>62</v>
      </c>
      <c r="H23" s="37"/>
      <c r="I23" s="34"/>
      <c r="J23" s="167"/>
    </row>
    <row r="24" spans="1:10" ht="12.75">
      <c r="A24" s="20" t="s">
        <v>65</v>
      </c>
      <c r="B24" s="73">
        <f>(B20)*D24</f>
        <v>0</v>
      </c>
      <c r="C24" s="17" t="s">
        <v>61</v>
      </c>
      <c r="D24" s="84">
        <v>4.3</v>
      </c>
      <c r="E24" s="96"/>
      <c r="F24" s="92"/>
      <c r="G24" s="88" t="s">
        <v>63</v>
      </c>
      <c r="H24" s="16"/>
      <c r="I24" s="17"/>
      <c r="J24" s="168"/>
    </row>
    <row r="25" spans="1:10" ht="13.5" thickBot="1">
      <c r="A25" s="21" t="s">
        <v>17</v>
      </c>
      <c r="B25" s="74">
        <f>SUM(B23:B24)</f>
        <v>0</v>
      </c>
      <c r="C25" s="27" t="s">
        <v>61</v>
      </c>
      <c r="D25" s="86"/>
      <c r="E25" s="93"/>
      <c r="F25" s="93"/>
      <c r="G25" s="89"/>
      <c r="H25" s="35"/>
      <c r="I25" s="28"/>
      <c r="J25" s="169"/>
    </row>
    <row r="26" spans="1:10" ht="12.75">
      <c r="A26" s="141"/>
      <c r="B26" s="3"/>
      <c r="C26" s="1"/>
      <c r="D26" s="4"/>
      <c r="E26" s="4"/>
      <c r="F26" s="4"/>
      <c r="G26" s="49"/>
      <c r="H26" s="2"/>
      <c r="I26" s="2"/>
      <c r="J26" s="25"/>
    </row>
    <row r="27" spans="1:10" ht="13.5" thickBot="1">
      <c r="A27" s="140" t="s">
        <v>37</v>
      </c>
      <c r="B27" s="4"/>
      <c r="C27" s="4"/>
      <c r="D27" s="4"/>
      <c r="E27" s="4"/>
      <c r="F27" s="4"/>
      <c r="G27" s="49"/>
      <c r="H27" s="1"/>
      <c r="I27" s="1"/>
      <c r="J27" s="25"/>
    </row>
    <row r="28" spans="1:10" ht="12.75">
      <c r="A28" s="39" t="s">
        <v>74</v>
      </c>
      <c r="B28" s="58"/>
      <c r="C28" s="38" t="s">
        <v>72</v>
      </c>
      <c r="D28" s="109">
        <f>IF(B11&lt;1,0,(((B28*1000/365)/B11)))</f>
        <v>0</v>
      </c>
      <c r="E28" s="110">
        <v>450</v>
      </c>
      <c r="F28" s="110">
        <v>300</v>
      </c>
      <c r="G28" s="87" t="s">
        <v>93</v>
      </c>
      <c r="H28" s="7">
        <f>IF(B28&lt;1,0,IF(D28&gt;E28,1,0))</f>
        <v>0</v>
      </c>
      <c r="I28" s="15">
        <f>IF(B28&lt;1,0,IF(D28&lt;F28,1,0))</f>
        <v>0</v>
      </c>
      <c r="J28" s="167"/>
    </row>
    <row r="29" spans="1:10" ht="12.75">
      <c r="A29" s="40" t="s">
        <v>22</v>
      </c>
      <c r="B29" s="70"/>
      <c r="C29" s="29" t="s">
        <v>75</v>
      </c>
      <c r="D29" s="99">
        <f>IF(B11&lt;1,0,(((B29*1000)/B11)))</f>
        <v>0</v>
      </c>
      <c r="E29" s="100">
        <v>350</v>
      </c>
      <c r="F29" s="100">
        <v>250</v>
      </c>
      <c r="G29" s="88" t="s">
        <v>93</v>
      </c>
      <c r="H29" s="1">
        <f>IF(B29&lt;1,0,IF(D29&gt;E29,1,0))</f>
        <v>0</v>
      </c>
      <c r="I29" s="17">
        <f>IF(B29&lt;1,0,IF(D29&lt;F29,1,0))</f>
        <v>0</v>
      </c>
      <c r="J29" s="168"/>
    </row>
    <row r="30" spans="1:10" ht="12.75">
      <c r="A30" s="40"/>
      <c r="B30" s="30"/>
      <c r="C30" s="29"/>
      <c r="D30" s="99">
        <f>IF(B11&lt;1,0,((B29*1000)/(((B12+B13)/2)+B11)))</f>
        <v>0</v>
      </c>
      <c r="E30" s="100">
        <v>350</v>
      </c>
      <c r="F30" s="100">
        <v>250</v>
      </c>
      <c r="G30" s="88" t="s">
        <v>91</v>
      </c>
      <c r="H30" s="1">
        <f>IF(D30&lt;1,0,IF(D30&gt;E30,1,0))</f>
        <v>0</v>
      </c>
      <c r="I30" s="17">
        <f>IF(D30&lt;1,0,IF(D30&lt;F30,1,0))</f>
        <v>0</v>
      </c>
      <c r="J30" s="168"/>
    </row>
    <row r="31" spans="1:10" ht="12.75">
      <c r="A31" s="130" t="s">
        <v>107</v>
      </c>
      <c r="B31" s="70"/>
      <c r="C31" s="29" t="s">
        <v>76</v>
      </c>
      <c r="D31" s="111">
        <f>IF(B11&lt;0.1,0,SUM(B31/(B11/1000)))</f>
        <v>0</v>
      </c>
      <c r="E31" s="102">
        <v>1.2</v>
      </c>
      <c r="F31" s="102">
        <v>0.8</v>
      </c>
      <c r="G31" s="88" t="s">
        <v>94</v>
      </c>
      <c r="H31" s="1">
        <f>IF(B31&lt;0.1,0,IF(D31&gt;E31,1,0))</f>
        <v>0</v>
      </c>
      <c r="I31" s="17">
        <f>IF(B31&lt;0.0011,0,IF(D31&lt;F31,1,0))</f>
        <v>0</v>
      </c>
      <c r="J31" s="168"/>
    </row>
    <row r="32" spans="1:10" ht="13.5" thickBot="1">
      <c r="A32" s="131" t="s">
        <v>49</v>
      </c>
      <c r="B32" s="71"/>
      <c r="C32" s="32" t="s">
        <v>76</v>
      </c>
      <c r="D32" s="161"/>
      <c r="E32" s="112">
        <f>SUM(D32/100)*105</f>
        <v>0</v>
      </c>
      <c r="F32" s="112">
        <f>SUM(D32/100)*95</f>
        <v>0</v>
      </c>
      <c r="G32" s="89" t="s">
        <v>77</v>
      </c>
      <c r="H32" s="22">
        <f>IF(B32&lt;1,0,IF(B32&gt;E32,1,0))</f>
        <v>0</v>
      </c>
      <c r="I32" s="27">
        <f>IF(B32&lt;1,0,IF(B32&lt;F32,1,0))</f>
        <v>0</v>
      </c>
      <c r="J32" s="169"/>
    </row>
    <row r="33" spans="1:10" ht="12.75">
      <c r="A33" s="24"/>
      <c r="B33" s="3"/>
      <c r="C33" s="1"/>
      <c r="D33" s="4"/>
      <c r="E33" s="4"/>
      <c r="F33" s="4"/>
      <c r="G33" s="48"/>
      <c r="H33" s="2"/>
      <c r="I33" s="2"/>
      <c r="J33" s="25"/>
    </row>
    <row r="34" spans="1:10" ht="13.5" thickBot="1">
      <c r="A34" s="51" t="s">
        <v>38</v>
      </c>
      <c r="B34" s="1"/>
      <c r="C34" s="1"/>
      <c r="D34" s="4"/>
      <c r="E34" s="4"/>
      <c r="F34" s="4"/>
      <c r="G34" s="48"/>
      <c r="H34" s="2"/>
      <c r="I34" s="2"/>
      <c r="J34" s="25"/>
    </row>
    <row r="35" spans="1:10" ht="12.75">
      <c r="A35" s="33" t="s">
        <v>66</v>
      </c>
      <c r="B35" s="58"/>
      <c r="C35" s="38" t="s">
        <v>72</v>
      </c>
      <c r="D35" s="97">
        <f>IF(B15&lt;1,0,(((B35/365)/B15)*1000))</f>
        <v>0</v>
      </c>
      <c r="E35" s="98">
        <v>2.5</v>
      </c>
      <c r="F35" s="98">
        <v>1.5</v>
      </c>
      <c r="G35" s="87" t="s">
        <v>91</v>
      </c>
      <c r="H35" s="135">
        <f>IF(B35&lt;1,0,IF(D35&gt;E35,1,0))</f>
        <v>0</v>
      </c>
      <c r="I35" s="136">
        <f>IF(B35&lt;0.1,0,IF(D35&lt;F35,1,0))</f>
        <v>0</v>
      </c>
      <c r="J35" s="167"/>
    </row>
    <row r="36" spans="1:10" ht="12.75">
      <c r="A36" s="129"/>
      <c r="B36" s="75"/>
      <c r="C36" s="76" t="s">
        <v>73</v>
      </c>
      <c r="D36" s="99">
        <f>IF(B15&lt;1,0,((B36/365)/B15)*1000000)</f>
        <v>0</v>
      </c>
      <c r="E36" s="100">
        <v>120</v>
      </c>
      <c r="F36" s="100">
        <v>80</v>
      </c>
      <c r="G36" s="88" t="s">
        <v>92</v>
      </c>
      <c r="H36" s="137">
        <f>IF(B36&lt;1,0,IF(D36&gt;E36,1,0))</f>
        <v>0</v>
      </c>
      <c r="I36" s="138">
        <f>IF(B36&lt;1,0,IF(D36&lt;F36,1,0))</f>
        <v>0</v>
      </c>
      <c r="J36" s="168"/>
    </row>
    <row r="37" spans="1:10" ht="12.75">
      <c r="A37" s="129" t="s">
        <v>111</v>
      </c>
      <c r="B37" s="75"/>
      <c r="C37" s="29" t="s">
        <v>72</v>
      </c>
      <c r="D37" s="101">
        <f>IF(B37&lt;1,0,(B38/(B37/100)))</f>
        <v>0</v>
      </c>
      <c r="E37" s="102">
        <v>6</v>
      </c>
      <c r="F37" s="102">
        <v>3</v>
      </c>
      <c r="G37" s="88" t="s">
        <v>30</v>
      </c>
      <c r="H37" s="137">
        <f>IF(B37&lt;1,0,IF(D37&gt;E37,1,0))</f>
        <v>0</v>
      </c>
      <c r="I37" s="138">
        <f>IF(B37&lt;1,0,IF(D37&lt;F37,1,0))</f>
        <v>0</v>
      </c>
      <c r="J37" s="168"/>
    </row>
    <row r="38" spans="1:10" ht="12.75">
      <c r="A38" s="129"/>
      <c r="B38" s="75"/>
      <c r="C38" s="76" t="s">
        <v>73</v>
      </c>
      <c r="D38" s="103"/>
      <c r="E38" s="104"/>
      <c r="F38" s="104"/>
      <c r="G38" s="88"/>
      <c r="H38" s="16"/>
      <c r="I38" s="17"/>
      <c r="J38" s="168"/>
    </row>
    <row r="39" spans="1:10" ht="12.75">
      <c r="A39" s="129" t="s">
        <v>29</v>
      </c>
      <c r="B39" s="59">
        <f>SUM(B35+B37)</f>
        <v>0</v>
      </c>
      <c r="C39" s="29" t="s">
        <v>72</v>
      </c>
      <c r="D39" s="101">
        <f>IF(B39&lt;1,0,(B40/(B39/100)))</f>
        <v>0</v>
      </c>
      <c r="E39" s="105">
        <v>6</v>
      </c>
      <c r="F39" s="105">
        <v>3</v>
      </c>
      <c r="G39" s="88" t="s">
        <v>30</v>
      </c>
      <c r="H39" s="16">
        <f>IF(B39&lt;1,0,IF(D39&gt;E39,1,0))</f>
        <v>0</v>
      </c>
      <c r="I39" s="17">
        <f>IF(B39&lt;1,0,IF(D39&lt;F39,1,0))</f>
        <v>0</v>
      </c>
      <c r="J39" s="168"/>
    </row>
    <row r="40" spans="1:10" ht="12.75">
      <c r="A40" s="129"/>
      <c r="B40" s="59">
        <f>SUM(B36+B38)</f>
        <v>0</v>
      </c>
      <c r="C40" s="76" t="s">
        <v>73</v>
      </c>
      <c r="D40" s="103"/>
      <c r="E40" s="104"/>
      <c r="F40" s="104"/>
      <c r="G40" s="88"/>
      <c r="H40" s="16"/>
      <c r="I40" s="17"/>
      <c r="J40" s="168"/>
    </row>
    <row r="41" spans="1:10" ht="12.75">
      <c r="A41" s="129" t="s">
        <v>67</v>
      </c>
      <c r="B41" s="70"/>
      <c r="C41" s="29" t="s">
        <v>72</v>
      </c>
      <c r="D41" s="101">
        <f>IF(B15&lt;1,0,((B41/365)/B15)*1000)</f>
        <v>0</v>
      </c>
      <c r="E41" s="105">
        <v>1.25</v>
      </c>
      <c r="F41" s="105">
        <v>0.75</v>
      </c>
      <c r="G41" s="88" t="s">
        <v>91</v>
      </c>
      <c r="H41" s="16">
        <f>IF(B41&lt;1,0,IF(D41&gt;E41,1,0))</f>
        <v>0</v>
      </c>
      <c r="I41" s="17">
        <f>IF(B41&lt;1,0,IF(D41&lt;F41,1,0))</f>
        <v>0</v>
      </c>
      <c r="J41" s="168"/>
    </row>
    <row r="42" spans="1:10" ht="12.75">
      <c r="A42" s="129"/>
      <c r="B42" s="70"/>
      <c r="C42" s="76" t="s">
        <v>73</v>
      </c>
      <c r="D42" s="99">
        <f>IF(B15&lt;1,0,((B42/365)/B15)*1000000)</f>
        <v>0</v>
      </c>
      <c r="E42" s="100">
        <v>90</v>
      </c>
      <c r="F42" s="100">
        <v>40</v>
      </c>
      <c r="G42" s="88" t="s">
        <v>92</v>
      </c>
      <c r="H42" s="16">
        <f>IF(B42&lt;1,0,IF(D42&gt;E42,1,0))</f>
        <v>0</v>
      </c>
      <c r="I42" s="17">
        <f>IF(B42&lt;1,0,IF(D42&lt;F42,1,0))</f>
        <v>0</v>
      </c>
      <c r="J42" s="168"/>
    </row>
    <row r="43" spans="1:10" ht="12.75">
      <c r="A43" s="129" t="s">
        <v>112</v>
      </c>
      <c r="B43" s="70"/>
      <c r="C43" s="29" t="s">
        <v>72</v>
      </c>
      <c r="D43" s="101">
        <f>IF(B43&lt;1,0,(B44/(B43/100)))</f>
        <v>0</v>
      </c>
      <c r="E43" s="102">
        <v>6</v>
      </c>
      <c r="F43" s="102">
        <v>3</v>
      </c>
      <c r="G43" s="88" t="s">
        <v>30</v>
      </c>
      <c r="H43" s="16">
        <f>IF(B43&lt;1,0,IF(D43&gt;E43,1,0))</f>
        <v>0</v>
      </c>
      <c r="I43" s="17">
        <f>IF(D43&lt;1,0,IF(D43&lt;F43,1,0))</f>
        <v>0</v>
      </c>
      <c r="J43" s="168"/>
    </row>
    <row r="44" spans="1:10" ht="12.75">
      <c r="A44" s="129"/>
      <c r="B44" s="75"/>
      <c r="C44" s="76" t="s">
        <v>73</v>
      </c>
      <c r="D44" s="85"/>
      <c r="E44" s="92"/>
      <c r="F44" s="92"/>
      <c r="G44" s="88"/>
      <c r="H44" s="65"/>
      <c r="I44" s="36"/>
      <c r="J44" s="168"/>
    </row>
    <row r="45" spans="1:10" ht="12.75">
      <c r="A45" s="129" t="s">
        <v>68</v>
      </c>
      <c r="B45" s="59">
        <f>SUM(B41+B43)</f>
        <v>0</v>
      </c>
      <c r="C45" s="29" t="s">
        <v>72</v>
      </c>
      <c r="D45" s="85"/>
      <c r="E45" s="92"/>
      <c r="F45" s="92"/>
      <c r="G45" s="88"/>
      <c r="H45" s="65"/>
      <c r="I45" s="36"/>
      <c r="J45" s="168"/>
    </row>
    <row r="46" spans="1:10" ht="12.75">
      <c r="A46" s="129"/>
      <c r="B46" s="59">
        <f>SUM(B42+B44)</f>
        <v>0</v>
      </c>
      <c r="C46" s="76" t="s">
        <v>73</v>
      </c>
      <c r="D46" s="85"/>
      <c r="E46" s="92"/>
      <c r="F46" s="92"/>
      <c r="G46" s="88"/>
      <c r="H46" s="65"/>
      <c r="I46" s="36"/>
      <c r="J46" s="168"/>
    </row>
    <row r="47" spans="1:10" ht="12.75">
      <c r="A47" s="129" t="s">
        <v>69</v>
      </c>
      <c r="B47" s="75"/>
      <c r="C47" s="76" t="s">
        <v>28</v>
      </c>
      <c r="D47" s="85"/>
      <c r="E47" s="106">
        <v>75</v>
      </c>
      <c r="F47" s="106">
        <v>65</v>
      </c>
      <c r="G47" s="88"/>
      <c r="H47" s="16">
        <f>IF(B47&lt;1,0,IF(B47&gt;E47,1,0))</f>
        <v>0</v>
      </c>
      <c r="I47" s="17">
        <f>IF(B47&lt;1,0,IF(B47&lt;F47,1,0))</f>
        <v>0</v>
      </c>
      <c r="J47" s="168"/>
    </row>
    <row r="48" spans="1:10" ht="12.75">
      <c r="A48" s="129" t="s">
        <v>70</v>
      </c>
      <c r="B48" s="75"/>
      <c r="C48" s="76" t="s">
        <v>28</v>
      </c>
      <c r="D48" s="85"/>
      <c r="E48" s="106">
        <v>55</v>
      </c>
      <c r="F48" s="106">
        <v>42</v>
      </c>
      <c r="G48" s="88"/>
      <c r="H48" s="16">
        <f>IF(B48&lt;1,0,IF(B48&gt;E48,1,0))</f>
        <v>0</v>
      </c>
      <c r="I48" s="17">
        <f>IF(B48&lt;1,0,IF(B48&lt;F48,1,0))</f>
        <v>0</v>
      </c>
      <c r="J48" s="168"/>
    </row>
    <row r="49" spans="1:10" ht="13.5" thickBot="1">
      <c r="A49" s="127" t="s">
        <v>71</v>
      </c>
      <c r="B49" s="128">
        <f>SUM(B40/100*B47)-(B42/100*B48)</f>
        <v>0</v>
      </c>
      <c r="C49" s="81" t="s">
        <v>83</v>
      </c>
      <c r="D49" s="86"/>
      <c r="E49" s="93"/>
      <c r="F49" s="93"/>
      <c r="G49" s="108"/>
      <c r="H49" s="23"/>
      <c r="I49" s="27"/>
      <c r="J49" s="169"/>
    </row>
    <row r="50" spans="1:10" ht="13.5" thickBot="1">
      <c r="A50" s="24"/>
      <c r="B50" s="3"/>
      <c r="C50" s="3"/>
      <c r="D50" s="4"/>
      <c r="E50" s="4"/>
      <c r="F50" s="4"/>
      <c r="G50" s="48"/>
      <c r="H50" s="1"/>
      <c r="I50" s="1"/>
      <c r="J50" s="25"/>
    </row>
    <row r="51" spans="1:10" ht="12.75">
      <c r="A51" s="43" t="s">
        <v>44</v>
      </c>
      <c r="B51" s="58"/>
      <c r="C51" s="38" t="s">
        <v>72</v>
      </c>
      <c r="D51" s="83"/>
      <c r="E51" s="107"/>
      <c r="F51" s="107"/>
      <c r="G51" s="87"/>
      <c r="H51" s="19"/>
      <c r="I51" s="38"/>
      <c r="J51" s="167"/>
    </row>
    <row r="52" spans="1:10" ht="22.5">
      <c r="A52" s="44" t="s">
        <v>113</v>
      </c>
      <c r="B52" s="70"/>
      <c r="C52" s="29" t="s">
        <v>72</v>
      </c>
      <c r="D52" s="85"/>
      <c r="E52" s="92"/>
      <c r="F52" s="92"/>
      <c r="G52" s="88"/>
      <c r="H52" s="25"/>
      <c r="I52" s="45"/>
      <c r="J52" s="170"/>
    </row>
    <row r="53" spans="1:10" ht="12.75">
      <c r="A53" s="44" t="s">
        <v>35</v>
      </c>
      <c r="B53" s="68">
        <f>SUM(B52-B51)</f>
        <v>0</v>
      </c>
      <c r="C53" s="29" t="s">
        <v>72</v>
      </c>
      <c r="D53" s="85"/>
      <c r="E53" s="92"/>
      <c r="F53" s="92"/>
      <c r="G53" s="88"/>
      <c r="H53" s="25"/>
      <c r="I53" s="45"/>
      <c r="J53" s="170"/>
    </row>
    <row r="54" spans="1:10" ht="12.75">
      <c r="A54" s="44" t="s">
        <v>44</v>
      </c>
      <c r="B54" s="147"/>
      <c r="C54" s="76" t="s">
        <v>73</v>
      </c>
      <c r="D54" s="85"/>
      <c r="E54" s="92"/>
      <c r="F54" s="92"/>
      <c r="G54" s="88"/>
      <c r="H54" s="25"/>
      <c r="I54" s="45"/>
      <c r="J54" s="170"/>
    </row>
    <row r="55" spans="1:10" ht="22.5">
      <c r="A55" s="44" t="s">
        <v>113</v>
      </c>
      <c r="B55" s="147"/>
      <c r="C55" s="76" t="s">
        <v>73</v>
      </c>
      <c r="D55" s="85"/>
      <c r="E55" s="92"/>
      <c r="F55" s="92"/>
      <c r="G55" s="88"/>
      <c r="H55" s="25"/>
      <c r="I55" s="45"/>
      <c r="J55" s="170"/>
    </row>
    <row r="56" spans="1:10" ht="13.5" thickBot="1">
      <c r="A56" s="46" t="s">
        <v>36</v>
      </c>
      <c r="B56" s="148">
        <f>SUM(B55-B54)</f>
        <v>0</v>
      </c>
      <c r="C56" s="77" t="s">
        <v>73</v>
      </c>
      <c r="D56" s="86"/>
      <c r="E56" s="93"/>
      <c r="F56" s="93"/>
      <c r="G56" s="108"/>
      <c r="H56" s="26"/>
      <c r="I56" s="32"/>
      <c r="J56" s="169"/>
    </row>
    <row r="57" spans="2:10" ht="12.75">
      <c r="B57" s="142"/>
      <c r="C57" s="142"/>
      <c r="D57" s="142"/>
      <c r="E57" s="142"/>
      <c r="F57" s="142"/>
      <c r="G57" s="143"/>
      <c r="J57" s="171"/>
    </row>
    <row r="58" spans="1:10" ht="13.5" thickBot="1">
      <c r="A58" s="51" t="s">
        <v>40</v>
      </c>
      <c r="B58" s="3"/>
      <c r="C58" s="3"/>
      <c r="D58" s="4"/>
      <c r="E58" s="4"/>
      <c r="F58" s="4"/>
      <c r="G58" s="49"/>
      <c r="H58" s="1"/>
      <c r="I58" s="1"/>
      <c r="J58" s="25"/>
    </row>
    <row r="59" spans="1:10" ht="12.75">
      <c r="A59" s="39" t="s">
        <v>7</v>
      </c>
      <c r="B59" s="58"/>
      <c r="C59" s="38" t="s">
        <v>78</v>
      </c>
      <c r="D59" s="97">
        <f>IF(B75&lt;1,0,SUM(B59/B75))</f>
        <v>0</v>
      </c>
      <c r="E59" s="98">
        <v>1.5</v>
      </c>
      <c r="F59" s="98">
        <v>2.2</v>
      </c>
      <c r="G59" s="87" t="s">
        <v>79</v>
      </c>
      <c r="H59" s="14">
        <f>IF(B59&lt;1,0,IF(D59&gt;F59,1,0))</f>
        <v>0</v>
      </c>
      <c r="I59" s="15">
        <f>IF(B59&lt;1,0,IF(D59&lt;E59,1,0))</f>
        <v>0</v>
      </c>
      <c r="J59" s="167"/>
    </row>
    <row r="60" spans="1:10" ht="12.75">
      <c r="A60" s="40" t="s">
        <v>31</v>
      </c>
      <c r="B60" s="70"/>
      <c r="C60" s="29" t="s">
        <v>78</v>
      </c>
      <c r="D60" s="99">
        <f>IF(B60&lt;1,0,B60/(B66/100))</f>
        <v>0</v>
      </c>
      <c r="E60" s="100">
        <v>30</v>
      </c>
      <c r="F60" s="100">
        <v>60</v>
      </c>
      <c r="G60" s="88" t="s">
        <v>4</v>
      </c>
      <c r="H60" s="16">
        <f>IF(B59&lt;1,0,IF(D60&gt;(F60),1,0))</f>
        <v>0</v>
      </c>
      <c r="I60" s="17">
        <f>IF(B59&lt;1,0,IF(D60&lt;E60,1,0))</f>
        <v>0</v>
      </c>
      <c r="J60" s="168"/>
    </row>
    <row r="61" spans="1:10" ht="12.75">
      <c r="A61" s="40" t="s">
        <v>8</v>
      </c>
      <c r="B61" s="70"/>
      <c r="C61" s="29" t="s">
        <v>78</v>
      </c>
      <c r="D61" s="113"/>
      <c r="E61" s="114"/>
      <c r="F61" s="114"/>
      <c r="G61" s="88" t="s">
        <v>4</v>
      </c>
      <c r="H61" s="30"/>
      <c r="I61" s="29"/>
      <c r="J61" s="168"/>
    </row>
    <row r="62" spans="1:10" ht="12.75">
      <c r="A62" s="40" t="s">
        <v>9</v>
      </c>
      <c r="B62" s="70"/>
      <c r="C62" s="29" t="s">
        <v>78</v>
      </c>
      <c r="D62" s="99">
        <f>IF(B62&lt;1,0,((B62/((B59+B60)))*100))</f>
        <v>0</v>
      </c>
      <c r="E62" s="100">
        <v>50</v>
      </c>
      <c r="F62" s="100">
        <v>30</v>
      </c>
      <c r="G62" s="88" t="s">
        <v>16</v>
      </c>
      <c r="H62" s="16">
        <f>IF(B62&lt;1,0,IF(B62&gt;(E62/100)*(B59+B60),1,0))</f>
        <v>0</v>
      </c>
      <c r="I62" s="17">
        <f>IF(B62&lt;1,0,IF(B62&lt;(F62/100)*(B59+B60),1,0))</f>
        <v>0</v>
      </c>
      <c r="J62" s="168"/>
    </row>
    <row r="63" spans="1:10" ht="12.75">
      <c r="A63" s="130" t="s">
        <v>99</v>
      </c>
      <c r="B63" s="59">
        <f>SUM(B25/D63)*365</f>
        <v>0</v>
      </c>
      <c r="C63" s="29" t="s">
        <v>78</v>
      </c>
      <c r="D63" s="84">
        <v>1.4</v>
      </c>
      <c r="E63" s="114"/>
      <c r="F63" s="114"/>
      <c r="G63" s="115" t="s">
        <v>80</v>
      </c>
      <c r="H63" s="16"/>
      <c r="I63" s="17"/>
      <c r="J63" s="168"/>
    </row>
    <row r="64" spans="1:10" s="42" customFormat="1" ht="24" customHeight="1">
      <c r="A64" s="133" t="s">
        <v>33</v>
      </c>
      <c r="B64" s="78">
        <f>SUM(B62-B63)</f>
        <v>0</v>
      </c>
      <c r="C64" s="29" t="s">
        <v>78</v>
      </c>
      <c r="D64" s="99">
        <f>IF(B62&lt;1,0,SUM(B62/(B63/100))-100)</f>
        <v>0</v>
      </c>
      <c r="E64" s="100">
        <v>25</v>
      </c>
      <c r="F64" s="100">
        <v>-25</v>
      </c>
      <c r="G64" s="116" t="s">
        <v>4</v>
      </c>
      <c r="H64" s="16">
        <f>IF(D64&gt;E64,1,0)</f>
        <v>0</v>
      </c>
      <c r="I64" s="17">
        <f>IF(D64&lt;F64,1,0)</f>
        <v>0</v>
      </c>
      <c r="J64" s="172"/>
    </row>
    <row r="65" spans="1:10" ht="12.75">
      <c r="A65" s="40" t="s">
        <v>10</v>
      </c>
      <c r="B65" s="70"/>
      <c r="C65" s="29" t="s">
        <v>78</v>
      </c>
      <c r="D65" s="101">
        <f>IF(B65&lt;1,0,(B65/(B66/100)))</f>
        <v>0</v>
      </c>
      <c r="E65" s="105">
        <v>3</v>
      </c>
      <c r="F65" s="105">
        <v>0.5</v>
      </c>
      <c r="G65" s="88" t="s">
        <v>4</v>
      </c>
      <c r="H65" s="16">
        <f>IF(B65&lt;1,0,IF(D65&gt;E65,1,0))</f>
        <v>0</v>
      </c>
      <c r="I65" s="17">
        <f>IF(B65&lt;1,0,IF(D65&lt;F65,1,0))</f>
        <v>0</v>
      </c>
      <c r="J65" s="168"/>
    </row>
    <row r="66" spans="1:10" ht="12.75">
      <c r="A66" s="40" t="s">
        <v>108</v>
      </c>
      <c r="B66" s="59">
        <f>SUM(B59+B60-B61)</f>
        <v>0</v>
      </c>
      <c r="C66" s="29" t="s">
        <v>78</v>
      </c>
      <c r="D66" s="99">
        <f>IF(B15&lt;1,0,(B66/B11))</f>
        <v>0</v>
      </c>
      <c r="E66" s="132">
        <v>60</v>
      </c>
      <c r="F66" s="132">
        <v>40</v>
      </c>
      <c r="G66" s="88" t="s">
        <v>95</v>
      </c>
      <c r="H66" s="16">
        <f>IF(B66&lt;1,0,IF(D66&gt;E66,1,0))</f>
        <v>0</v>
      </c>
      <c r="I66" s="17">
        <f>IF(D66&lt;1,0,IF(D66&lt;F66,1,0))</f>
        <v>0</v>
      </c>
      <c r="J66" s="168"/>
    </row>
    <row r="67" spans="1:10" ht="12.75">
      <c r="A67" s="40"/>
      <c r="B67" s="30"/>
      <c r="C67" s="29"/>
      <c r="D67" s="99">
        <f>IF(B16&lt;1,0,(B66)/(((B12+B13)/2)+B11))</f>
        <v>0</v>
      </c>
      <c r="E67" s="117">
        <v>60</v>
      </c>
      <c r="F67" s="117">
        <v>40</v>
      </c>
      <c r="G67" s="88" t="s">
        <v>96</v>
      </c>
      <c r="H67" s="16">
        <f>IF(B66&lt;1,0,IF(D67&gt;E67,1,0))</f>
        <v>0</v>
      </c>
      <c r="I67" s="17">
        <f>IF(D66&lt;1,0,IF(D67&lt;F67,1,0))</f>
        <v>0</v>
      </c>
      <c r="J67" s="168"/>
    </row>
    <row r="68" spans="1:10" ht="13.5" thickBot="1">
      <c r="A68" s="41" t="s">
        <v>50</v>
      </c>
      <c r="B68" s="31"/>
      <c r="C68" s="32"/>
      <c r="D68" s="118">
        <f>IF(B28&lt;1,0,SUM(B66/B28))</f>
        <v>0</v>
      </c>
      <c r="E68" s="119">
        <v>0.3</v>
      </c>
      <c r="F68" s="119">
        <v>0.15</v>
      </c>
      <c r="G68" s="89" t="s">
        <v>81</v>
      </c>
      <c r="H68" s="23">
        <f>IF(B66&lt;0.1,0,IF(D68&gt;E68,1,0))</f>
        <v>0</v>
      </c>
      <c r="I68" s="27">
        <f>IF(D66&lt;0.01,0,IF(D68&lt;F68,1,0))</f>
        <v>0</v>
      </c>
      <c r="J68" s="169"/>
    </row>
    <row r="69" spans="7:10" ht="12.75">
      <c r="G69"/>
      <c r="J69" s="171"/>
    </row>
    <row r="70" spans="1:10" ht="13.5" thickBot="1">
      <c r="A70" s="53" t="s">
        <v>41</v>
      </c>
      <c r="B70" s="3"/>
      <c r="C70" s="3"/>
      <c r="D70" s="4"/>
      <c r="E70" s="3"/>
      <c r="F70" s="3"/>
      <c r="G70" s="49"/>
      <c r="H70" s="3"/>
      <c r="I70" s="3"/>
      <c r="J70" s="173"/>
    </row>
    <row r="71" spans="1:10" ht="12.75">
      <c r="A71" s="39" t="s">
        <v>101</v>
      </c>
      <c r="B71" s="79">
        <f>SUM(B49*D71)</f>
        <v>0</v>
      </c>
      <c r="C71" s="38" t="s">
        <v>72</v>
      </c>
      <c r="D71" s="120">
        <v>450</v>
      </c>
      <c r="E71" s="91"/>
      <c r="F71" s="91"/>
      <c r="G71" s="87" t="s">
        <v>82</v>
      </c>
      <c r="H71" s="14"/>
      <c r="I71" s="15"/>
      <c r="J71" s="167"/>
    </row>
    <row r="72" spans="1:10" ht="12.75">
      <c r="A72" s="40" t="s">
        <v>43</v>
      </c>
      <c r="B72" s="70"/>
      <c r="C72" s="29" t="s">
        <v>72</v>
      </c>
      <c r="D72" s="99">
        <f>IF(B11&lt;1,0,((B72/365)*1000)/B11)</f>
        <v>0</v>
      </c>
      <c r="E72" s="117">
        <v>35</v>
      </c>
      <c r="F72" s="117">
        <v>20</v>
      </c>
      <c r="G72" s="88" t="s">
        <v>93</v>
      </c>
      <c r="H72" s="16">
        <f>IF(D72&lt;1,0,IF(D72&gt;E72,1,0))</f>
        <v>0</v>
      </c>
      <c r="I72" s="17">
        <f>IF(D72&lt;1,0,IF(D72&lt;F72,1,0))</f>
        <v>0</v>
      </c>
      <c r="J72" s="168"/>
    </row>
    <row r="73" spans="1:10" ht="12.75">
      <c r="A73" s="40"/>
      <c r="B73" s="30"/>
      <c r="C73" s="29"/>
      <c r="D73" s="99">
        <f>IF(B11&lt;1,0,((B72/365)*1000)/B15)</f>
        <v>0</v>
      </c>
      <c r="E73" s="117">
        <v>35</v>
      </c>
      <c r="F73" s="117">
        <v>20</v>
      </c>
      <c r="G73" s="88" t="s">
        <v>91</v>
      </c>
      <c r="H73" s="16">
        <f>IF(D73&lt;1,0,IF(D73&gt;E73,1,0))</f>
        <v>0</v>
      </c>
      <c r="I73" s="17">
        <f>IF(D73&lt;1,0,IF(D73&lt;F73,1,0))</f>
        <v>0</v>
      </c>
      <c r="J73" s="168"/>
    </row>
    <row r="74" spans="1:10" ht="12.75">
      <c r="A74" s="40" t="s">
        <v>11</v>
      </c>
      <c r="B74" s="70"/>
      <c r="C74" s="29" t="s">
        <v>72</v>
      </c>
      <c r="D74" s="111">
        <f>IF(B72&lt;1,0,IF(B74&lt;1,0,(B74/B72)*100))</f>
        <v>0</v>
      </c>
      <c r="E74" s="105">
        <v>10</v>
      </c>
      <c r="F74" s="92"/>
      <c r="G74" s="88" t="s">
        <v>4</v>
      </c>
      <c r="H74" s="16">
        <f>IF(B74&lt;1,0,IF(B74&gt;(E74/100)*B72,1,0))</f>
        <v>0</v>
      </c>
      <c r="I74" s="17"/>
      <c r="J74" s="168"/>
    </row>
    <row r="75" spans="1:10" ht="12.75">
      <c r="A75" s="40" t="s">
        <v>12</v>
      </c>
      <c r="B75" s="70"/>
      <c r="C75" s="29" t="s">
        <v>72</v>
      </c>
      <c r="D75" s="99">
        <f>IF(B72&lt;1,0,IF(B75&lt;1,0,(B75/B72)*100))</f>
        <v>0</v>
      </c>
      <c r="E75" s="163"/>
      <c r="F75" s="100">
        <v>60</v>
      </c>
      <c r="G75" s="88" t="s">
        <v>4</v>
      </c>
      <c r="H75" s="16"/>
      <c r="I75" s="17">
        <f>IF(B75&lt;1,0,IF(B75&lt;(F75/100)*B72,1,0))</f>
        <v>0</v>
      </c>
      <c r="J75" s="168"/>
    </row>
    <row r="76" spans="1:10" ht="12.75">
      <c r="A76" s="40" t="s">
        <v>13</v>
      </c>
      <c r="B76" s="70"/>
      <c r="C76" s="29" t="s">
        <v>72</v>
      </c>
      <c r="D76" s="99">
        <f>IF(B72&lt;1,0,IF(B76&lt;1,0,(B76/B72)*100))</f>
        <v>0</v>
      </c>
      <c r="E76" s="105">
        <v>2</v>
      </c>
      <c r="F76" s="92"/>
      <c r="G76" s="88" t="s">
        <v>4</v>
      </c>
      <c r="H76" s="16">
        <f>IF(B76&lt;1,0,IF(B76&gt;(E76/100)*B72,1,0))</f>
        <v>0</v>
      </c>
      <c r="I76" s="17"/>
      <c r="J76" s="168"/>
    </row>
    <row r="77" spans="1:10" ht="13.5" thickBot="1">
      <c r="A77" s="41" t="s">
        <v>27</v>
      </c>
      <c r="B77" s="60">
        <f>SUM(B74+B75)</f>
        <v>0</v>
      </c>
      <c r="C77" s="32" t="s">
        <v>84</v>
      </c>
      <c r="D77" s="86"/>
      <c r="E77" s="121"/>
      <c r="F77" s="121"/>
      <c r="G77" s="108"/>
      <c r="H77" s="31"/>
      <c r="I77" s="32"/>
      <c r="J77" s="169"/>
    </row>
    <row r="78" spans="1:10" ht="13.5" thickBot="1">
      <c r="A78" s="24"/>
      <c r="B78" s="62"/>
      <c r="C78" s="62"/>
      <c r="D78" s="61"/>
      <c r="E78" s="62"/>
      <c r="F78" s="62"/>
      <c r="G78" s="48"/>
      <c r="H78" s="1"/>
      <c r="I78" s="1"/>
      <c r="J78" s="25"/>
    </row>
    <row r="79" spans="1:10" ht="12.75">
      <c r="A79" s="39" t="s">
        <v>15</v>
      </c>
      <c r="B79" s="58"/>
      <c r="C79" s="38" t="s">
        <v>51</v>
      </c>
      <c r="D79" s="83"/>
      <c r="E79" s="91"/>
      <c r="F79" s="91"/>
      <c r="G79" s="122" t="s">
        <v>97</v>
      </c>
      <c r="H79" s="7"/>
      <c r="I79" s="15"/>
      <c r="J79" s="167"/>
    </row>
    <row r="80" spans="1:10" ht="13.5" thickBot="1">
      <c r="A80" s="41" t="s">
        <v>14</v>
      </c>
      <c r="B80" s="80"/>
      <c r="C80" s="81" t="s">
        <v>85</v>
      </c>
      <c r="D80" s="118">
        <f>IF(B11&lt;1,0,((B80*1000)/B11))</f>
        <v>0</v>
      </c>
      <c r="E80" s="123">
        <v>1</v>
      </c>
      <c r="F80" s="93"/>
      <c r="G80" s="108" t="s">
        <v>97</v>
      </c>
      <c r="H80" s="23">
        <f>IF(B80&lt;1,0,IF(D80&gt;E80,1,0))</f>
        <v>0</v>
      </c>
      <c r="I80" s="32"/>
      <c r="J80" s="169"/>
    </row>
    <row r="81" spans="7:10" ht="12.75">
      <c r="G81"/>
      <c r="J81" s="171"/>
    </row>
    <row r="82" spans="1:10" ht="13.5" thickBot="1">
      <c r="A82" s="53" t="s">
        <v>52</v>
      </c>
      <c r="B82" s="145"/>
      <c r="C82" s="145"/>
      <c r="D82" s="145"/>
      <c r="E82" s="145"/>
      <c r="F82" s="145"/>
      <c r="G82" s="146"/>
      <c r="H82" s="145"/>
      <c r="I82" s="145"/>
      <c r="J82" s="174"/>
    </row>
    <row r="83" spans="1:10" ht="12.75">
      <c r="A83" s="33" t="s">
        <v>109</v>
      </c>
      <c r="B83" s="162"/>
      <c r="C83" s="157" t="s">
        <v>110</v>
      </c>
      <c r="D83" s="156"/>
      <c r="E83" s="157"/>
      <c r="F83" s="157"/>
      <c r="G83" s="158"/>
      <c r="H83" s="156"/>
      <c r="I83" s="82"/>
      <c r="J83" s="175"/>
    </row>
    <row r="84" spans="1:10" ht="12.75">
      <c r="A84" s="65" t="s">
        <v>102</v>
      </c>
      <c r="B84" s="75"/>
      <c r="C84" s="150" t="s">
        <v>98</v>
      </c>
      <c r="D84" s="153">
        <f>IF(B84&lt;1,0,SUM((B84/365)/((B21-(B83*B28/365000)))))</f>
        <v>0</v>
      </c>
      <c r="E84" s="144">
        <v>2</v>
      </c>
      <c r="F84" s="144">
        <v>0.7</v>
      </c>
      <c r="G84" s="152" t="s">
        <v>86</v>
      </c>
      <c r="H84" s="16">
        <f>IF(B84&lt;1,0,IF(D84&gt;E84,1,0))</f>
        <v>0</v>
      </c>
      <c r="I84" s="17">
        <f>IF(B84&lt;1,0,IF(D84&lt;F84,1,0))</f>
        <v>0</v>
      </c>
      <c r="J84" s="176"/>
    </row>
    <row r="85" spans="1:10" s="149" customFormat="1" ht="12" thickBot="1">
      <c r="A85" s="35" t="s">
        <v>103</v>
      </c>
      <c r="B85" s="159"/>
      <c r="C85" s="151" t="s">
        <v>98</v>
      </c>
      <c r="D85" s="69">
        <f>IF(B85&lt;1,0,SUM((B85/365)/((B21-(B83*B28/365000)))))</f>
        <v>0</v>
      </c>
      <c r="E85" s="154">
        <v>3</v>
      </c>
      <c r="F85" s="154">
        <v>1</v>
      </c>
      <c r="G85" s="155" t="s">
        <v>87</v>
      </c>
      <c r="H85" s="23">
        <f>IF(D85&lt;1,0,IF(D85&gt;E85,1,0))</f>
        <v>0</v>
      </c>
      <c r="I85" s="27">
        <f>IF(B85&lt;1,0,IF(D85&lt;F85,1,0))</f>
        <v>0</v>
      </c>
      <c r="J85" s="177"/>
    </row>
    <row r="86" ht="12.75">
      <c r="A86" s="150" t="s">
        <v>115</v>
      </c>
    </row>
  </sheetData>
  <sheetProtection password="CFF7" sheet="1" objects="1" scenarios="1"/>
  <conditionalFormatting sqref="H64:I68 H84:I85 H28:I32 H59:I60 H62:I62 H47:I48 H35:I37 H39:I39 H41:I43 I75 H76 I72:I73 H72:H74 H80">
    <cfRule type="cellIs" priority="1" dxfId="0" operator="equal" stopIfTrue="1">
      <formula>0</formula>
    </cfRule>
    <cfRule type="cellIs" priority="2" dxfId="1" operator="equal" stopIfTrue="1">
      <formula>1</formula>
    </cfRule>
  </conditionalFormatting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landscape" paperSize="9" r:id="rId3"/>
  <headerFooter alignWithMargins="0">
    <oddFooter>&amp;LAWEL Amt für Abfall, Wasser, Energie und Luft&amp;C&amp;D&amp;RVersion 1 / EM</oddFooter>
  </headerFooter>
  <rowBreaks count="2" manualBreakCount="2">
    <brk id="33" max="255" man="1"/>
    <brk id="5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Datenüberprüfung</dc:title>
  <dc:subject/>
  <dc:creator>Gewässerschutzamt</dc:creator>
  <cp:keywords/>
  <dc:description/>
  <cp:lastModifiedBy>Admin</cp:lastModifiedBy>
  <cp:lastPrinted>2007-01-22T16:26:37Z</cp:lastPrinted>
  <dcterms:created xsi:type="dcterms:W3CDTF">2001-03-06T13:25:21Z</dcterms:created>
  <dcterms:modified xsi:type="dcterms:W3CDTF">2007-05-15T12:03:35Z</dcterms:modified>
  <cp:category/>
  <cp:version/>
  <cp:contentType/>
  <cp:contentStatus/>
</cp:coreProperties>
</file>