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home.kt.ktzh.ch\BAA5385$\Documents\CMIAXIOMA\01c1bae663ae489bb3124ff244020c4b\"/>
    </mc:Choice>
  </mc:AlternateContent>
  <xr:revisionPtr revIDLastSave="0" documentId="13_ncr:1_{3D0B51FE-99E5-4CFB-960C-DE5E73179BD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Abgrenzung_Berechnung" sheetId="1" r:id="rId1"/>
    <sheet name="Verteilung (normal)" sheetId="7" r:id="rId2"/>
    <sheet name="Verteilung (speziell)" sheetId="4" r:id="rId3"/>
  </sheets>
  <definedNames>
    <definedName name="a" localSheetId="1">#REF!</definedName>
    <definedName name="a">#REF!</definedName>
    <definedName name="AbschoepfungAngleichung" localSheetId="1">#REF!</definedName>
    <definedName name="AbschoepfungAngleichung" localSheetId="2">#REF!</definedName>
    <definedName name="AbschoepfungAngleichung">#REF!</definedName>
    <definedName name="Art" localSheetId="1">'Verteilung (normal)'!#REF!</definedName>
    <definedName name="Art" localSheetId="2">'Verteilung (speziell)'!#REF!</definedName>
    <definedName name="Art">Abgrenzung_Berechnung!#REF!</definedName>
    <definedName name="_xlnm.Print_Area" localSheetId="0">Abgrenzung_Berechnung!$A$1:$I$78</definedName>
    <definedName name="_xlnm.Print_Area" localSheetId="1">'Verteilung (normal)'!$A$1:$F$29</definedName>
    <definedName name="_xlnm.Print_Area" localSheetId="2">'Verteilung (speziell)'!$A$1:$G$55</definedName>
    <definedName name="_xlnm.Print_Titles" localSheetId="0">Abgrenzung_Berechnung!#REF!</definedName>
    <definedName name="_xlnm.Print_Titles" localSheetId="1">'Verteilung (normal)'!#REF!</definedName>
    <definedName name="_xlnm.Print_Titles" localSheetId="2">'Verteilung (speziell)'!#REF!</definedName>
    <definedName name="Jahr">Abgrenzung_Berechnung!$C$3</definedName>
    <definedName name="ZuschussAngleichung" localSheetId="1">#REF!</definedName>
    <definedName name="ZuschussAngleichung" localSheetId="2">#REF!</definedName>
    <definedName name="ZuschussAngleich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6" i="1"/>
  <c r="A50" i="4" l="1"/>
  <c r="A47" i="4"/>
  <c r="A39" i="4"/>
  <c r="A36" i="4"/>
  <c r="A28" i="4"/>
  <c r="A25" i="4"/>
  <c r="A18" i="4"/>
  <c r="A17" i="4"/>
  <c r="A3" i="4"/>
  <c r="D25" i="7" l="1"/>
  <c r="A19" i="7"/>
  <c r="A18" i="7"/>
  <c r="A3" i="7"/>
  <c r="D29" i="7" l="1"/>
  <c r="F27" i="7" l="1"/>
  <c r="E27" i="7"/>
  <c r="E26" i="7"/>
  <c r="F28" i="7"/>
  <c r="E28" i="7"/>
  <c r="F26" i="7"/>
  <c r="F29" i="7" l="1"/>
  <c r="A17" i="7" l="1"/>
  <c r="A1" i="7"/>
  <c r="C54" i="4"/>
  <c r="C43" i="4"/>
  <c r="C32" i="4"/>
  <c r="A16" i="4"/>
  <c r="A1" i="4"/>
  <c r="A49" i="4" l="1"/>
  <c r="A38" i="4"/>
  <c r="A27" i="4"/>
  <c r="A26" i="7"/>
  <c r="I22" i="1" l="1"/>
  <c r="A9" i="1" l="1"/>
  <c r="A60" i="1"/>
  <c r="I16" i="1" l="1"/>
  <c r="I17" i="1"/>
  <c r="I18" i="1"/>
  <c r="I19" i="1"/>
  <c r="I20" i="1"/>
  <c r="I21" i="1"/>
  <c r="I15" i="1"/>
  <c r="E21" i="1"/>
  <c r="E20" i="1"/>
  <c r="E19" i="1"/>
  <c r="E18" i="1"/>
  <c r="E17" i="1"/>
  <c r="E16" i="1"/>
  <c r="A14" i="1"/>
  <c r="E15" i="1"/>
  <c r="F1" i="1"/>
  <c r="F50" i="4" l="1"/>
  <c r="F39" i="4"/>
  <c r="F28" i="4"/>
  <c r="E53" i="4" l="1"/>
  <c r="C53" i="4"/>
  <c r="E42" i="4"/>
  <c r="C42" i="4"/>
  <c r="E31" i="4"/>
  <c r="C31" i="4"/>
  <c r="A44" i="1"/>
  <c r="A38" i="1"/>
  <c r="A54" i="1"/>
  <c r="A41" i="1" l="1"/>
  <c r="I43" i="1"/>
  <c r="I42" i="1"/>
  <c r="I40" i="1"/>
  <c r="I39" i="1"/>
  <c r="I29" i="1"/>
  <c r="I30" i="1"/>
  <c r="I31" i="1"/>
  <c r="I32" i="1"/>
  <c r="I34" i="1"/>
  <c r="I35" i="1"/>
  <c r="I36" i="1"/>
  <c r="I37" i="1"/>
  <c r="A33" i="1"/>
  <c r="A28" i="1"/>
  <c r="A23" i="1"/>
  <c r="I27" i="1"/>
  <c r="I26" i="1"/>
  <c r="I25" i="1"/>
  <c r="I24" i="1"/>
  <c r="I10" i="1"/>
  <c r="I11" i="1"/>
  <c r="I12" i="1"/>
  <c r="I13" i="1"/>
  <c r="A49" i="1" l="1"/>
  <c r="A70" i="1"/>
  <c r="A62" i="1"/>
  <c r="I72" i="1" l="1"/>
  <c r="D72" i="1"/>
  <c r="I58" i="1"/>
  <c r="D58" i="1"/>
  <c r="D63" i="1"/>
  <c r="I63" i="1"/>
  <c r="H47" i="1"/>
  <c r="I45" i="1"/>
  <c r="H51" i="1"/>
  <c r="I47" i="1" l="1"/>
  <c r="I51" i="1" s="1"/>
  <c r="I71" i="1" l="1"/>
  <c r="I73" i="1" s="1"/>
  <c r="D74" i="1" s="1"/>
  <c r="I64" i="1"/>
  <c r="I65" i="1" s="1"/>
  <c r="I66" i="1" s="1"/>
  <c r="I67" i="1" s="1"/>
  <c r="I68" i="1" l="1"/>
  <c r="I74" i="1"/>
  <c r="D66" i="1"/>
  <c r="D67" i="1"/>
  <c r="D75" i="1" l="1"/>
  <c r="I75" i="1"/>
  <c r="D76" i="1" s="1"/>
  <c r="I76" i="1" l="1"/>
  <c r="I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</authors>
  <commentList>
    <comment ref="A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Summe pro Jahr von:
9100.4000.10 "Einkommenssteuern natürliche Personen früherer Jahre"
9100.4001.10 "Vermögenssteuern natürliche Personen früherer Jahre"
9100.4010.10 "Gewinnsteuern juristische Personen früherer Jahre"
9100.4011.10 "Kapitalsteuern juristische Personen früherer Jahre"</t>
        </r>
      </text>
    </comment>
    <comment ref="F1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5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7" authorId="0" shapeId="0" xr:uid="{00000000-0006-0000-0000-00000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7" authorId="0" shapeId="0" xr:uid="{00000000-0006-0000-0000-00000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8" authorId="0" shapeId="0" xr:uid="{00000000-0006-0000-0000-00000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8" authorId="0" shapeId="0" xr:uid="{00000000-0006-0000-0000-000009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9" authorId="0" shapeId="0" xr:uid="{00000000-0006-0000-0000-00000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9" authorId="0" shapeId="0" xr:uid="{00000000-0006-0000-0000-00000B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0" authorId="0" shapeId="0" xr:uid="{00000000-0006-0000-0000-00000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0" authorId="0" shapeId="0" xr:uid="{00000000-0006-0000-0000-00000D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1" authorId="0" shapeId="0" xr:uid="{00000000-0006-0000-0000-00000E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1" authorId="0" shapeId="0" xr:uid="{00000000-0006-0000-0000-00000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4" authorId="0" shapeId="0" xr:uid="{00000000-0006-0000-0000-000010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4" authorId="0" shapeId="0" xr:uid="{00000000-0006-0000-0000-000011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5" authorId="0" shapeId="0" xr:uid="{00000000-0006-0000-0000-00001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5" authorId="0" shapeId="0" xr:uid="{00000000-0006-0000-0000-00001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6" authorId="0" shapeId="0" xr:uid="{00000000-0006-0000-0000-00001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6" authorId="0" shapeId="0" xr:uid="{00000000-0006-0000-0000-00001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7" authorId="0" shapeId="0" xr:uid="{00000000-0006-0000-0000-00001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7" authorId="0" shapeId="0" xr:uid="{00000000-0006-0000-0000-00001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34" authorId="0" shapeId="0" xr:uid="{00000000-0006-0000-0000-00001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5" authorId="0" shapeId="0" xr:uid="{00000000-0006-0000-0000-000019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6" authorId="0" shapeId="0" xr:uid="{00000000-0006-0000-0000-00001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7" authorId="0" shapeId="0" xr:uid="{00000000-0006-0000-0000-00001B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9" authorId="0" shapeId="0" xr:uid="{00000000-0006-0000-0000-00001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0" authorId="0" shapeId="0" xr:uid="{00000000-0006-0000-0000-00001D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5" authorId="0" shapeId="0" xr:uid="{00000000-0006-0000-0000-00001E000000}">
      <text>
        <r>
          <rPr>
            <b/>
            <sz val="9"/>
            <color indexed="81"/>
            <rFont val="Arial"/>
            <family val="2"/>
          </rPr>
          <t>Abschreibungen und Erlasse als negative Zahl erfassen</t>
        </r>
      </text>
    </comment>
    <comment ref="H45" authorId="0" shapeId="0" xr:uid="{00000000-0006-0000-0000-00001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47" authorId="0" shapeId="0" xr:uid="{00000000-0006-0000-0000-000020000000}">
      <text>
        <r>
          <rPr>
            <b/>
            <sz val="9"/>
            <color indexed="81"/>
            <rFont val="Arial"/>
            <family val="2"/>
          </rPr>
          <t>Mögliche manuelle Eingabe, falls der Nettosteuerertrag 100 %
anders berechnet wird.</t>
        </r>
      </text>
    </comment>
    <comment ref="F51" authorId="0" shapeId="0" xr:uid="{00000000-0006-0000-0000-000021000000}">
      <text>
        <r>
          <rPr>
            <b/>
            <sz val="9"/>
            <color indexed="81"/>
            <rFont val="Arial"/>
            <family val="2"/>
          </rPr>
          <t>Mögliche manuelle Eingabe, falls die Steuerkraft pro Einwohner
anders berechnet wird.</t>
        </r>
      </text>
    </comment>
  </commentList>
</comments>
</file>

<file path=xl/sharedStrings.xml><?xml version="1.0" encoding="utf-8"?>
<sst xmlns="http://schemas.openxmlformats.org/spreadsheetml/2006/main" count="127" uniqueCount="99">
  <si>
    <t>Polit. Gde</t>
  </si>
  <si>
    <t>Massgebl.</t>
  </si>
  <si>
    <t>Umgerechnet</t>
  </si>
  <si>
    <t>effektiv Fr.</t>
  </si>
  <si>
    <t>Steuerfuss %</t>
  </si>
  <si>
    <t>auf 100 %</t>
  </si>
  <si>
    <t>Total Nettosteuerertrag 100 %</t>
  </si>
  <si>
    <t>man. Eingabe:</t>
  </si>
  <si>
    <t>Steuerkraft pro Einwohner</t>
  </si>
  <si>
    <t>Eigene relative Steuerkraft</t>
  </si>
  <si>
    <t>Gesamter Zuschuss</t>
  </si>
  <si>
    <t>%</t>
  </si>
  <si>
    <t>Gesamte Abschöpfung</t>
  </si>
  <si>
    <t>Betrag</t>
  </si>
  <si>
    <t>Gesamtsteuerfuss der abrechnenden Gemeinde  x  100</t>
  </si>
  <si>
    <t>SG = Schulgemeinde</t>
  </si>
  <si>
    <t>Schulgemeinde B</t>
  </si>
  <si>
    <t>=</t>
  </si>
  <si>
    <t>Schulgemeinde C</t>
  </si>
  <si>
    <t>Schulgemeinde D</t>
  </si>
  <si>
    <t>Kantonsmittel der Gesamtsteuerfüsse 2010 (2. Jahr vor Inkraftsetzung FAG)</t>
  </si>
  <si>
    <t>Einfacher relativer Zuschuss</t>
  </si>
  <si>
    <t>Ausgleichsgrenze</t>
  </si>
  <si>
    <t>Einfacher absoluter Zuschuss</t>
  </si>
  <si>
    <t>Steuerfussindex</t>
  </si>
  <si>
    <t>Abschöpfungsgrenze</t>
  </si>
  <si>
    <t>Einfache relative Abschöpfung</t>
  </si>
  <si>
    <t>Überhang über Abschöpfungsgrenze</t>
  </si>
  <si>
    <t>Einfache absolute Abschöpfung</t>
  </si>
  <si>
    <t>Formel für die Berechnung der Anteile am Ressourcenausgleich:</t>
  </si>
  <si>
    <t>Anteil am Ressourcenausgleich:</t>
  </si>
  <si>
    <t>9100.4000.00</t>
  </si>
  <si>
    <t>Einkommenssteuern natürliche Personen Rechnungsjahr</t>
  </si>
  <si>
    <t>9100.4001.00</t>
  </si>
  <si>
    <t>Vermögenssteuern natürliche Personen Rechnungsjahr</t>
  </si>
  <si>
    <t>9100.4010.00</t>
  </si>
  <si>
    <t>Gewinnsteuern juristische Personen Rechnungsjahr</t>
  </si>
  <si>
    <t>9100.4011.00</t>
  </si>
  <si>
    <t>Kapitalsteuern juristische Personen Rechnungsjahr</t>
  </si>
  <si>
    <t>9100.4000.20</t>
  </si>
  <si>
    <t>Nachsteuern Einkommenssteuern natürliche Personen</t>
  </si>
  <si>
    <t>9100.4001.20</t>
  </si>
  <si>
    <t>Nachsteuern Vermögenssteuern natürliche Personen</t>
  </si>
  <si>
    <t>9100.4010.20</t>
  </si>
  <si>
    <t>Nachsteuern Gewinnsteuern juristische Personen</t>
  </si>
  <si>
    <t>9100.4011.20</t>
  </si>
  <si>
    <t>Nachsteuern Kapitalsteuern juristische Personen</t>
  </si>
  <si>
    <t>9100.4000.40</t>
  </si>
  <si>
    <t>Aktive Steuerausscheidungen Einkommenssteuern nat. Personen</t>
  </si>
  <si>
    <t>Aktive Steuerausscheidungen Vermögenssteuern nat. Personen</t>
  </si>
  <si>
    <t>9100.4001.40</t>
  </si>
  <si>
    <t>9100.4010.40</t>
  </si>
  <si>
    <t>Aktive Steuerausscheidungen Gewinnsteuern jur. Personen</t>
  </si>
  <si>
    <t>9100.4011.40</t>
  </si>
  <si>
    <t>Aktive Steuerausscheidungen Kapitalsteuern jur. Personen</t>
  </si>
  <si>
    <t>9100.4000.50</t>
  </si>
  <si>
    <t>9100.4001.50</t>
  </si>
  <si>
    <t>9100.4010.50</t>
  </si>
  <si>
    <t>9100.4011.50</t>
  </si>
  <si>
    <t>Passive Steuerausscheidungen Einkommenssteuern nat. Personen</t>
  </si>
  <si>
    <t>Passive Steuerausscheidungen Vermögenssteuern nat. Personen</t>
  </si>
  <si>
    <t>Passive Steuerausscheidungen Gewinnsteuern jur. Personen</t>
  </si>
  <si>
    <t>Passive Steuerausscheidungen Kapitalsteuern jur. Personen</t>
  </si>
  <si>
    <t>9100.4000.60</t>
  </si>
  <si>
    <t>9100.4010.60</t>
  </si>
  <si>
    <t>9100.4002.00</t>
  </si>
  <si>
    <t>Quellensteuern natürliche Personen</t>
  </si>
  <si>
    <t>9100.4012.00</t>
  </si>
  <si>
    <t>Quellensteuern juristische Personen</t>
  </si>
  <si>
    <t>9100.3181.00</t>
  </si>
  <si>
    <t>Tatsächliche Forderungsverluste</t>
  </si>
  <si>
    <r>
      <t xml:space="preserve">Provisorische Abschöpfung </t>
    </r>
    <r>
      <rPr>
        <sz val="10"/>
        <rFont val="Arial"/>
        <family val="2"/>
      </rPr>
      <t>(aufgerundet)</t>
    </r>
  </si>
  <si>
    <r>
      <t>Provisorischer Zuschuss</t>
    </r>
    <r>
      <rPr>
        <sz val="10"/>
        <rFont val="Arial"/>
        <family val="2"/>
      </rPr>
      <t xml:space="preserve"> (abgerundet)</t>
    </r>
  </si>
  <si>
    <t>Politische Gemeinde xxx</t>
  </si>
  <si>
    <t xml:space="preserve">Ressourcenausgleich gesamt  x  Steuerfuss der SG  x  Anteil Steuerkraft der SG in %  </t>
  </si>
  <si>
    <t>Verteilung im Verhältnis der Steuerfüsse unter Berücksichtigung der Steuerkraft (Spezialfall)</t>
  </si>
  <si>
    <t>Provisorische Steuerkraftberechnung</t>
  </si>
  <si>
    <t>(gemäss Angaben des Steueramtes bzw. aufgrund der Zahlen in der Jahresrechnung)</t>
  </si>
  <si>
    <t>Allgemeine Gemeindesteuern</t>
  </si>
  <si>
    <t>Mehr- oder Minderertrag (+/-)</t>
  </si>
  <si>
    <t>9100.40xx.10</t>
  </si>
  <si>
    <t>…</t>
  </si>
  <si>
    <t>Steuerfuss und Kantonsmittel</t>
  </si>
  <si>
    <t xml:space="preserve">-  Der Anteil der Schulgemeinden bemisst sich grundsätzlich nach dem Verhältnis des Steuerfusses der </t>
  </si>
  <si>
    <t xml:space="preserve">   Schulgemeinde zum Gesamtsteuerfuss der abrechnenden Gemeinde. Massgebend sind die Steuerfüsse </t>
  </si>
  <si>
    <t xml:space="preserve">   im Bemessungsjahr (t-2).</t>
  </si>
  <si>
    <t xml:space="preserve">-  Umfasst eine Schulgemeinde nicht das ganze Gebiet der politischen Gemeinde, wird zusätzlich </t>
  </si>
  <si>
    <t xml:space="preserve">   das Verhältnis der absoluten Steuerkraft der Schulgemeinde auf dem Gebiet der politischen </t>
  </si>
  <si>
    <t xml:space="preserve">   Gemeinde zur absoluten Steuerkraft der politischen Gemeinde im Bemessungsjahr berücksichtigt.</t>
  </si>
  <si>
    <t>-  Massgebend sind die Formeln 2 und 4 im Anhang 1 zum Finanzausgleichsgesetz.</t>
  </si>
  <si>
    <t>Verteilung im Verhältnis der Steuerfüsse (Normalfall)</t>
  </si>
  <si>
    <t>Anteil</t>
  </si>
  <si>
    <t>Total</t>
  </si>
  <si>
    <t>Spezielle Verhältnisse</t>
  </si>
  <si>
    <t>Grundsätze</t>
  </si>
  <si>
    <t>Primar/Schulgemeinde xxx</t>
  </si>
  <si>
    <t>Oberstufenschulgemeinde xxx</t>
  </si>
  <si>
    <t>Anrechnung ausländischer Quellensteuern natürliche Personen</t>
  </si>
  <si>
    <t>Anrechnung ausländischer Quellensteuern juristische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</si>
</sst>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Fr.&quot;\ * #,##0.00_ ;_ &quot;Fr.&quot;\ * \-#,##0.00_ ;_ &quot;Fr.&quot;\ * &quot;-&quot;??_ ;_ @_ "/>
    <numFmt numFmtId="165" formatCode="#,##0.00\ ;[Red]\-#,##0.00\ "/>
    <numFmt numFmtId="166" formatCode="#,##0\ ;[Red]\-#,##0\ "/>
    <numFmt numFmtId="167" formatCode="#,##0.00_ ;[Red]\-#,##0.00\ "/>
    <numFmt numFmtId="168" formatCode="&quot;Fr.&quot;\ * #,##0.00;[Red]&quot;Fr.&quot;\ * \-#,##0.00"/>
    <numFmt numFmtId="169" formatCode="0.00000"/>
    <numFmt numFmtId="170" formatCode="#,##0.00000000_ ;[Red]\-#,##0.00000000\ 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9"/>
      <color indexed="8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166" fontId="1" fillId="3" borderId="3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2" xfId="0" applyNumberFormat="1" applyFont="1" applyFill="1" applyBorder="1" applyAlignment="1">
      <alignment vertical="center"/>
    </xf>
    <xf numFmtId="166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166" fontId="0" fillId="3" borderId="2" xfId="0" applyNumberFormat="1" applyFill="1" applyBorder="1" applyAlignment="1">
      <alignment horizontal="center" vertical="center"/>
    </xf>
    <xf numFmtId="166" fontId="9" fillId="2" borderId="0" xfId="0" applyNumberFormat="1" applyFont="1" applyFill="1"/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66" fontId="1" fillId="2" borderId="0" xfId="0" applyNumberFormat="1" applyFon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166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166" fontId="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vertical="center"/>
    </xf>
    <xf numFmtId="166" fontId="2" fillId="2" borderId="2" xfId="0" quotePrefix="1" applyNumberFormat="1" applyFont="1" applyFill="1" applyBorder="1" applyAlignment="1">
      <alignment vertical="center"/>
    </xf>
    <xf numFmtId="0" fontId="0" fillId="2" borderId="2" xfId="0" quotePrefix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166" fontId="7" fillId="2" borderId="2" xfId="0" quotePrefix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70" fontId="2" fillId="2" borderId="2" xfId="0" applyNumberFormat="1" applyFont="1" applyFill="1" applyBorder="1" applyAlignment="1">
      <alignment vertical="center"/>
    </xf>
    <xf numFmtId="166" fontId="0" fillId="4" borderId="2" xfId="0" applyNumberFormat="1" applyFill="1" applyBorder="1" applyAlignment="1" applyProtection="1">
      <alignment horizontal="center"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center"/>
    </xf>
    <xf numFmtId="166" fontId="0" fillId="2" borderId="2" xfId="0" applyNumberFormat="1" applyFill="1" applyBorder="1" applyAlignment="1">
      <alignment horizontal="left"/>
    </xf>
    <xf numFmtId="9" fontId="0" fillId="2" borderId="2" xfId="0" applyNumberFormat="1" applyFill="1" applyBorder="1" applyAlignment="1">
      <alignment horizontal="right"/>
    </xf>
    <xf numFmtId="167" fontId="1" fillId="2" borderId="2" xfId="0" applyNumberFormat="1" applyFont="1" applyFill="1" applyBorder="1" applyAlignment="1">
      <alignment horizontal="right"/>
    </xf>
    <xf numFmtId="167" fontId="0" fillId="2" borderId="2" xfId="0" applyNumberForma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vertical="center"/>
      <protection locked="0"/>
    </xf>
    <xf numFmtId="166" fontId="1" fillId="2" borderId="2" xfId="0" applyNumberFormat="1" applyFont="1" applyFill="1" applyBorder="1"/>
    <xf numFmtId="166" fontId="3" fillId="2" borderId="2" xfId="0" applyNumberFormat="1" applyFont="1" applyFill="1" applyBorder="1"/>
    <xf numFmtId="166" fontId="0" fillId="2" borderId="2" xfId="0" applyNumberFormat="1" applyFill="1" applyBorder="1"/>
    <xf numFmtId="166" fontId="6" fillId="2" borderId="2" xfId="0" applyNumberFormat="1" applyFont="1" applyFill="1" applyBorder="1"/>
    <xf numFmtId="166" fontId="5" fillId="2" borderId="2" xfId="0" applyNumberFormat="1" applyFont="1" applyFill="1" applyBorder="1"/>
    <xf numFmtId="166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167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left" vertical="center"/>
    </xf>
    <xf numFmtId="9" fontId="0" fillId="2" borderId="2" xfId="0" applyNumberForma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horizontal="right" vertical="center"/>
    </xf>
    <xf numFmtId="167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7" fontId="0" fillId="4" borderId="2" xfId="0" applyNumberFormat="1" applyFill="1" applyBorder="1" applyAlignment="1" applyProtection="1">
      <alignment vertical="center"/>
      <protection locked="0"/>
    </xf>
    <xf numFmtId="167" fontId="1" fillId="4" borderId="2" xfId="0" applyNumberFormat="1" applyFont="1" applyFill="1" applyBorder="1" applyAlignment="1" applyProtection="1">
      <alignment vertical="center"/>
      <protection locked="0"/>
    </xf>
    <xf numFmtId="10" fontId="6" fillId="2" borderId="0" xfId="0" applyNumberFormat="1" applyFont="1" applyFill="1"/>
    <xf numFmtId="168" fontId="6" fillId="2" borderId="0" xfId="0" applyNumberFormat="1" applyFont="1" applyFill="1"/>
    <xf numFmtId="40" fontId="6" fillId="2" borderId="0" xfId="0" applyNumberFormat="1" applyFont="1" applyFill="1" applyAlignment="1">
      <alignment horizontal="right"/>
    </xf>
    <xf numFmtId="40" fontId="6" fillId="2" borderId="0" xfId="0" applyNumberFormat="1" applyFont="1" applyFill="1"/>
    <xf numFmtId="38" fontId="6" fillId="2" borderId="0" xfId="0" applyNumberFormat="1" applyFont="1" applyFill="1"/>
    <xf numFmtId="38" fontId="6" fillId="2" borderId="0" xfId="0" applyNumberFormat="1" applyFont="1" applyFill="1" applyAlignment="1">
      <alignment horizontal="right"/>
    </xf>
    <xf numFmtId="40" fontId="1" fillId="2" borderId="2" xfId="0" applyNumberFormat="1" applyFon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horizontal="right" vertical="center"/>
      <protection locked="0"/>
    </xf>
    <xf numFmtId="166" fontId="2" fillId="2" borderId="0" xfId="0" applyNumberFormat="1" applyFont="1" applyFill="1"/>
    <xf numFmtId="168" fontId="2" fillId="2" borderId="0" xfId="0" applyNumberFormat="1" applyFont="1" applyFill="1"/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>
      <alignment horizontal="center"/>
    </xf>
    <xf numFmtId="166" fontId="11" fillId="2" borderId="0" xfId="0" applyNumberFormat="1" applyFont="1" applyFill="1"/>
    <xf numFmtId="0" fontId="11" fillId="2" borderId="0" xfId="0" applyFont="1" applyFill="1" applyAlignment="1">
      <alignment horizontal="left"/>
    </xf>
    <xf numFmtId="166" fontId="11" fillId="2" borderId="0" xfId="0" applyNumberFormat="1" applyFont="1" applyFill="1" applyAlignment="1">
      <alignment horizontal="center"/>
    </xf>
    <xf numFmtId="168" fontId="12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168" fontId="13" fillId="2" borderId="0" xfId="0" applyNumberFormat="1" applyFont="1" applyFill="1" applyAlignment="1">
      <alignment horizontal="left"/>
    </xf>
    <xf numFmtId="0" fontId="1" fillId="2" borderId="2" xfId="0" applyFont="1" applyFill="1" applyBorder="1"/>
    <xf numFmtId="168" fontId="1" fillId="2" borderId="2" xfId="0" applyNumberFormat="1" applyFont="1" applyFill="1" applyBorder="1" applyAlignment="1">
      <alignment horizontal="right"/>
    </xf>
    <xf numFmtId="9" fontId="1" fillId="2" borderId="2" xfId="0" applyNumberFormat="1" applyFont="1" applyFill="1" applyBorder="1" applyAlignment="1">
      <alignment horizontal="right"/>
    </xf>
    <xf numFmtId="168" fontId="5" fillId="2" borderId="2" xfId="0" applyNumberFormat="1" applyFont="1" applyFill="1" applyBorder="1"/>
    <xf numFmtId="168" fontId="6" fillId="2" borderId="2" xfId="0" applyNumberFormat="1" applyFont="1" applyFill="1" applyBorder="1"/>
    <xf numFmtId="10" fontId="6" fillId="2" borderId="2" xfId="0" applyNumberFormat="1" applyFont="1" applyFill="1" applyBorder="1"/>
    <xf numFmtId="10" fontId="6" fillId="2" borderId="2" xfId="0" applyNumberFormat="1" applyFont="1" applyFill="1" applyBorder="1" applyAlignment="1">
      <alignment horizontal="left"/>
    </xf>
    <xf numFmtId="0" fontId="0" fillId="2" borderId="2" xfId="0" applyFill="1" applyBorder="1"/>
    <xf numFmtId="10" fontId="5" fillId="2" borderId="2" xfId="0" applyNumberFormat="1" applyFont="1" applyFill="1" applyBorder="1"/>
    <xf numFmtId="169" fontId="6" fillId="2" borderId="2" xfId="0" applyNumberFormat="1" applyFont="1" applyFill="1" applyBorder="1"/>
    <xf numFmtId="9" fontId="6" fillId="2" borderId="2" xfId="0" applyNumberFormat="1" applyFont="1" applyFill="1" applyBorder="1"/>
    <xf numFmtId="40" fontId="6" fillId="2" borderId="2" xfId="0" applyNumberFormat="1" applyFont="1" applyFill="1" applyBorder="1"/>
    <xf numFmtId="168" fontId="8" fillId="2" borderId="2" xfId="0" applyNumberFormat="1" applyFont="1" applyFill="1" applyBorder="1" applyAlignment="1">
      <alignment horizontal="center"/>
    </xf>
    <xf numFmtId="168" fontId="6" fillId="2" borderId="2" xfId="0" applyNumberFormat="1" applyFont="1" applyFill="1" applyBorder="1" applyAlignment="1">
      <alignment horizontal="centerContinuous"/>
    </xf>
    <xf numFmtId="10" fontId="6" fillId="2" borderId="2" xfId="0" applyNumberFormat="1" applyFont="1" applyFill="1" applyBorder="1" applyAlignment="1">
      <alignment horizontal="center"/>
    </xf>
    <xf numFmtId="168" fontId="1" fillId="4" borderId="2" xfId="0" applyNumberFormat="1" applyFont="1" applyFill="1" applyBorder="1" applyProtection="1">
      <protection locked="0"/>
    </xf>
    <xf numFmtId="168" fontId="6" fillId="4" borderId="2" xfId="0" applyNumberFormat="1" applyFont="1" applyFill="1" applyBorder="1" applyProtection="1">
      <protection locked="0"/>
    </xf>
    <xf numFmtId="168" fontId="6" fillId="2" borderId="0" xfId="0" applyNumberFormat="1" applyFont="1" applyFill="1" applyAlignment="1">
      <alignment horizontal="centerContinuous"/>
    </xf>
    <xf numFmtId="10" fontId="6" fillId="2" borderId="0" xfId="0" applyNumberFormat="1" applyFont="1" applyFill="1" applyAlignment="1">
      <alignment horizontal="center"/>
    </xf>
    <xf numFmtId="38" fontId="6" fillId="2" borderId="2" xfId="0" applyNumberFormat="1" applyFont="1" applyFill="1" applyBorder="1" applyAlignment="1">
      <alignment horizontal="center"/>
    </xf>
    <xf numFmtId="10" fontId="1" fillId="4" borderId="2" xfId="0" applyNumberFormat="1" applyFont="1" applyFill="1" applyBorder="1" applyProtection="1">
      <protection locked="0"/>
    </xf>
    <xf numFmtId="0" fontId="0" fillId="2" borderId="0" xfId="0" applyFill="1" applyAlignment="1">
      <alignment horizontal="center" vertical="center"/>
    </xf>
    <xf numFmtId="166" fontId="3" fillId="4" borderId="0" xfId="0" applyNumberFormat="1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left" wrapText="1"/>
    </xf>
    <xf numFmtId="166" fontId="3" fillId="2" borderId="0" xfId="0" applyNumberFormat="1" applyFont="1" applyFill="1"/>
    <xf numFmtId="166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66" fontId="14" fillId="2" borderId="0" xfId="0" applyNumberFormat="1" applyFont="1" applyFill="1" applyAlignment="1">
      <alignment horizontal="left" vertical="center" wrapText="1"/>
    </xf>
    <xf numFmtId="166" fontId="3" fillId="4" borderId="0" xfId="0" applyNumberFormat="1" applyFont="1" applyFill="1" applyAlignment="1" applyProtection="1">
      <alignment horizontal="left" vertical="center"/>
      <protection locked="0"/>
    </xf>
    <xf numFmtId="166" fontId="2" fillId="2" borderId="0" xfId="0" applyNumberFormat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166" fontId="1" fillId="3" borderId="3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horizontal="right" vertical="center"/>
    </xf>
    <xf numFmtId="167" fontId="2" fillId="5" borderId="2" xfId="0" applyNumberFormat="1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>
      <alignment vertical="center"/>
    </xf>
    <xf numFmtId="166" fontId="4" fillId="2" borderId="2" xfId="0" quotePrefix="1" applyNumberFormat="1" applyFont="1" applyFill="1" applyBorder="1" applyAlignment="1">
      <alignment vertical="center"/>
    </xf>
    <xf numFmtId="38" fontId="2" fillId="2" borderId="2" xfId="0" applyNumberFormat="1" applyFont="1" applyFill="1" applyBorder="1"/>
    <xf numFmtId="38" fontId="1" fillId="2" borderId="2" xfId="0" applyNumberFormat="1" applyFont="1" applyFill="1" applyBorder="1" applyAlignment="1">
      <alignment horizontal="right"/>
    </xf>
    <xf numFmtId="38" fontId="2" fillId="2" borderId="2" xfId="0" applyNumberFormat="1" applyFont="1" applyFill="1" applyBorder="1" applyAlignment="1">
      <alignment horizontal="right"/>
    </xf>
    <xf numFmtId="38" fontId="2" fillId="4" borderId="2" xfId="0" applyNumberFormat="1" applyFont="1" applyFill="1" applyBorder="1" applyProtection="1">
      <protection locked="0"/>
    </xf>
    <xf numFmtId="167" fontId="2" fillId="2" borderId="2" xfId="0" applyNumberFormat="1" applyFont="1" applyFill="1" applyBorder="1" applyAlignment="1">
      <alignment horizontal="right" vertical="center"/>
    </xf>
    <xf numFmtId="164" fontId="0" fillId="2" borderId="2" xfId="0" applyNumberFormat="1" applyFill="1" applyBorder="1"/>
    <xf numFmtId="164" fontId="1" fillId="2" borderId="2" xfId="0" applyNumberFormat="1" applyFont="1" applyFill="1" applyBorder="1"/>
    <xf numFmtId="166" fontId="11" fillId="2" borderId="3" xfId="0" applyNumberFormat="1" applyFont="1" applyFill="1" applyBorder="1"/>
    <xf numFmtId="165" fontId="2" fillId="2" borderId="0" xfId="0" quotePrefix="1" applyNumberFormat="1" applyFont="1" applyFill="1"/>
    <xf numFmtId="165" fontId="2" fillId="2" borderId="0" xfId="0" applyNumberFormat="1" applyFont="1" applyFill="1"/>
    <xf numFmtId="166" fontId="0" fillId="2" borderId="4" xfId="0" applyNumberFormat="1" applyFill="1" applyBorder="1"/>
    <xf numFmtId="0" fontId="11" fillId="2" borderId="3" xfId="0" applyFont="1" applyFill="1" applyBorder="1" applyAlignment="1">
      <alignment horizontal="left"/>
    </xf>
    <xf numFmtId="168" fontId="2" fillId="0" borderId="0" xfId="0" applyNumberFormat="1" applyFont="1"/>
    <xf numFmtId="168" fontId="2" fillId="0" borderId="0" xfId="0" applyNumberFormat="1" applyFont="1" applyAlignment="1">
      <alignment horizontal="centerContinuous"/>
    </xf>
    <xf numFmtId="0" fontId="0" fillId="2" borderId="4" xfId="0" applyFill="1" applyBorder="1" applyAlignment="1">
      <alignment horizontal="left"/>
    </xf>
    <xf numFmtId="166" fontId="3" fillId="2" borderId="0" xfId="0" applyNumberFormat="1" applyFont="1" applyFill="1" applyAlignment="1">
      <alignment horizontal="left" vertical="center" wrapText="1"/>
    </xf>
    <xf numFmtId="168" fontId="1" fillId="2" borderId="2" xfId="0" applyNumberFormat="1" applyFont="1" applyFill="1" applyBorder="1"/>
    <xf numFmtId="166" fontId="3" fillId="2" borderId="0" xfId="0" applyNumberFormat="1" applyFont="1" applyFill="1" applyAlignment="1">
      <alignment horizontal="right" vertical="center"/>
    </xf>
    <xf numFmtId="166" fontId="1" fillId="3" borderId="2" xfId="0" applyNumberFormat="1" applyFont="1" applyFill="1" applyBorder="1" applyAlignment="1">
      <alignment horizontal="left" vertical="center" wrapText="1"/>
    </xf>
    <xf numFmtId="166" fontId="1" fillId="3" borderId="2" xfId="0" applyNumberFormat="1" applyFont="1" applyFill="1" applyBorder="1" applyAlignment="1">
      <alignment horizontal="left" vertical="center"/>
    </xf>
    <xf numFmtId="168" fontId="11" fillId="2" borderId="0" xfId="0" applyNumberFormat="1" applyFont="1" applyFill="1" applyAlignment="1">
      <alignment horizontal="center"/>
    </xf>
    <xf numFmtId="168" fontId="11" fillId="2" borderId="1" xfId="0" applyNumberFormat="1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workbookViewId="0"/>
  </sheetViews>
  <sheetFormatPr baseColWidth="10" defaultColWidth="13.7109375" defaultRowHeight="12.75" x14ac:dyDescent="0.2"/>
  <cols>
    <col min="1" max="1" width="11.7109375" style="9" customWidth="1"/>
    <col min="2" max="2" width="30.42578125" style="9" customWidth="1"/>
    <col min="3" max="3" width="7.42578125" style="9" customWidth="1"/>
    <col min="4" max="4" width="19.7109375" style="8" customWidth="1"/>
    <col min="5" max="5" width="6.7109375" style="100" customWidth="1"/>
    <col min="6" max="6" width="15.7109375" style="9" customWidth="1"/>
    <col min="7" max="7" width="1.7109375" style="9" customWidth="1"/>
    <col min="8" max="8" width="15.7109375" style="10" customWidth="1"/>
    <col min="9" max="9" width="15.7109375" style="9" bestFit="1" customWidth="1"/>
    <col min="10" max="16384" width="13.7109375" style="9"/>
  </cols>
  <sheetData>
    <row r="1" spans="1:9" s="103" customFormat="1" ht="15.75" x14ac:dyDescent="0.2">
      <c r="A1" s="109" t="s">
        <v>73</v>
      </c>
      <c r="B1" s="101"/>
      <c r="C1" s="140"/>
      <c r="D1" s="102"/>
      <c r="E1" s="102"/>
      <c r="F1" s="142" t="str">
        <f>"Prov. Ressourcenausgleich "&amp; C3+2</f>
        <v>Prov. Ressourcenausgleich 2027</v>
      </c>
      <c r="G1" s="142"/>
      <c r="H1" s="142"/>
      <c r="I1" s="142"/>
    </row>
    <row r="3" spans="1:9" s="106" customFormat="1" ht="15.75" customHeight="1" x14ac:dyDescent="0.25">
      <c r="A3" s="105" t="s">
        <v>76</v>
      </c>
      <c r="C3" s="119">
        <v>2025</v>
      </c>
      <c r="E3" s="103"/>
      <c r="F3" s="107"/>
      <c r="G3" s="107"/>
      <c r="H3" s="108"/>
      <c r="I3" s="108"/>
    </row>
    <row r="4" spans="1:9" x14ac:dyDescent="0.2">
      <c r="A4" s="9" t="s">
        <v>77</v>
      </c>
      <c r="B4" s="104"/>
      <c r="C4" s="104"/>
      <c r="D4" s="104"/>
      <c r="E4" s="110"/>
      <c r="F4" s="104"/>
      <c r="G4" s="104"/>
      <c r="H4" s="104"/>
      <c r="I4" s="104"/>
    </row>
    <row r="5" spans="1:9" ht="13.5" customHeight="1" x14ac:dyDescent="0.2"/>
    <row r="7" spans="1:9" s="18" customFormat="1" x14ac:dyDescent="0.2">
      <c r="A7" s="143" t="s">
        <v>78</v>
      </c>
      <c r="B7" s="144"/>
      <c r="C7" s="144"/>
      <c r="D7" s="144"/>
      <c r="E7" s="1"/>
      <c r="F7" s="120" t="s">
        <v>0</v>
      </c>
      <c r="G7" s="120"/>
      <c r="H7" s="120" t="s">
        <v>1</v>
      </c>
      <c r="I7" s="120" t="s">
        <v>2</v>
      </c>
    </row>
    <row r="8" spans="1:9" s="18" customFormat="1" x14ac:dyDescent="0.2">
      <c r="A8" s="144"/>
      <c r="B8" s="144"/>
      <c r="C8" s="144"/>
      <c r="D8" s="144"/>
      <c r="E8" s="2"/>
      <c r="F8" s="121" t="s">
        <v>3</v>
      </c>
      <c r="G8" s="121"/>
      <c r="H8" s="121" t="s">
        <v>4</v>
      </c>
      <c r="I8" s="121" t="s">
        <v>5</v>
      </c>
    </row>
    <row r="9" spans="1:9" s="17" customFormat="1" x14ac:dyDescent="0.2">
      <c r="A9" s="11" t="str">
        <f>"Steuerertrag Rechnungsjahr "&amp;Jahr</f>
        <v>Steuerertrag Rechnungsjahr 2025</v>
      </c>
      <c r="B9" s="11"/>
      <c r="C9" s="11"/>
      <c r="D9" s="19"/>
      <c r="E9" s="111"/>
      <c r="F9" s="15"/>
      <c r="G9" s="15"/>
      <c r="H9" s="16"/>
      <c r="I9" s="15"/>
    </row>
    <row r="10" spans="1:9" s="17" customFormat="1" x14ac:dyDescent="0.2">
      <c r="A10" s="123" t="s">
        <v>31</v>
      </c>
      <c r="B10" s="20" t="s">
        <v>32</v>
      </c>
      <c r="C10" s="20"/>
      <c r="D10" s="19"/>
      <c r="E10" s="111"/>
      <c r="F10" s="59"/>
      <c r="G10" s="48"/>
      <c r="H10" s="29"/>
      <c r="I10" s="57">
        <f t="shared" ref="I10:I13" si="0">IF(F10&lt;&gt;"",F10*100/H10,0)</f>
        <v>0</v>
      </c>
    </row>
    <row r="11" spans="1:9" s="17" customFormat="1" x14ac:dyDescent="0.2">
      <c r="A11" s="123" t="s">
        <v>33</v>
      </c>
      <c r="B11" s="20" t="s">
        <v>34</v>
      </c>
      <c r="C11" s="20"/>
      <c r="D11" s="19"/>
      <c r="E11" s="111"/>
      <c r="F11" s="59"/>
      <c r="G11" s="48"/>
      <c r="H11" s="29"/>
      <c r="I11" s="57">
        <f t="shared" si="0"/>
        <v>0</v>
      </c>
    </row>
    <row r="12" spans="1:9" s="17" customFormat="1" x14ac:dyDescent="0.2">
      <c r="A12" s="123" t="s">
        <v>35</v>
      </c>
      <c r="B12" s="20" t="s">
        <v>36</v>
      </c>
      <c r="C12" s="20"/>
      <c r="D12" s="19"/>
      <c r="E12" s="111"/>
      <c r="F12" s="59"/>
      <c r="G12" s="48"/>
      <c r="H12" s="29"/>
      <c r="I12" s="57">
        <f t="shared" si="0"/>
        <v>0</v>
      </c>
    </row>
    <row r="13" spans="1:9" s="17" customFormat="1" x14ac:dyDescent="0.2">
      <c r="A13" s="123" t="s">
        <v>37</v>
      </c>
      <c r="B13" s="20" t="s">
        <v>38</v>
      </c>
      <c r="C13" s="20"/>
      <c r="D13" s="19"/>
      <c r="E13" s="111"/>
      <c r="F13" s="59"/>
      <c r="G13" s="48"/>
      <c r="H13" s="29"/>
      <c r="I13" s="57">
        <f t="shared" si="0"/>
        <v>0</v>
      </c>
    </row>
    <row r="14" spans="1:9" s="17" customFormat="1" x14ac:dyDescent="0.2">
      <c r="A14" s="11" t="str">
        <f>"Steuerertrag früherer Jahre gemäss SR-Abrechnungen"</f>
        <v>Steuerertrag früherer Jahre gemäss SR-Abrechnungen</v>
      </c>
      <c r="B14" s="11"/>
      <c r="C14" s="11"/>
      <c r="D14" s="12"/>
      <c r="E14" s="112"/>
      <c r="F14" s="48"/>
      <c r="G14" s="48"/>
      <c r="H14" s="16"/>
      <c r="I14" s="57"/>
    </row>
    <row r="15" spans="1:9" s="17" customFormat="1" x14ac:dyDescent="0.2">
      <c r="A15" s="124" t="s">
        <v>80</v>
      </c>
      <c r="B15" s="20" t="s">
        <v>79</v>
      </c>
      <c r="C15" s="20"/>
      <c r="D15" s="22"/>
      <c r="E15" s="111">
        <f>Jahr-1</f>
        <v>2024</v>
      </c>
      <c r="F15" s="59"/>
      <c r="G15" s="48"/>
      <c r="H15" s="29"/>
      <c r="I15" s="57">
        <f>IF(F15&lt;&gt;"",F15*100/H15,0)</f>
        <v>0</v>
      </c>
    </row>
    <row r="16" spans="1:9" s="17" customFormat="1" x14ac:dyDescent="0.2">
      <c r="A16" s="124" t="s">
        <v>80</v>
      </c>
      <c r="B16" s="20" t="s">
        <v>79</v>
      </c>
      <c r="C16" s="20"/>
      <c r="D16" s="22"/>
      <c r="E16" s="111">
        <f>Jahr-2</f>
        <v>2023</v>
      </c>
      <c r="F16" s="59"/>
      <c r="G16" s="48"/>
      <c r="H16" s="29"/>
      <c r="I16" s="57">
        <f t="shared" ref="I16:I22" si="1">IF(F16&lt;&gt;"",F16*100/H16,0)</f>
        <v>0</v>
      </c>
    </row>
    <row r="17" spans="1:9" s="17" customFormat="1" x14ac:dyDescent="0.2">
      <c r="A17" s="124" t="s">
        <v>80</v>
      </c>
      <c r="B17" s="20" t="s">
        <v>79</v>
      </c>
      <c r="C17" s="20"/>
      <c r="D17" s="22"/>
      <c r="E17" s="111">
        <f>Jahr-3</f>
        <v>2022</v>
      </c>
      <c r="F17" s="59"/>
      <c r="G17" s="48"/>
      <c r="H17" s="29"/>
      <c r="I17" s="57">
        <f t="shared" si="1"/>
        <v>0</v>
      </c>
    </row>
    <row r="18" spans="1:9" s="17" customFormat="1" x14ac:dyDescent="0.2">
      <c r="A18" s="124" t="s">
        <v>80</v>
      </c>
      <c r="B18" s="20" t="s">
        <v>79</v>
      </c>
      <c r="C18" s="20"/>
      <c r="D18" s="22"/>
      <c r="E18" s="111">
        <f>Jahr-4</f>
        <v>2021</v>
      </c>
      <c r="F18" s="59"/>
      <c r="G18" s="48"/>
      <c r="H18" s="29"/>
      <c r="I18" s="57">
        <f t="shared" si="1"/>
        <v>0</v>
      </c>
    </row>
    <row r="19" spans="1:9" s="17" customFormat="1" x14ac:dyDescent="0.2">
      <c r="A19" s="124" t="s">
        <v>80</v>
      </c>
      <c r="B19" s="20" t="s">
        <v>79</v>
      </c>
      <c r="C19" s="20"/>
      <c r="D19" s="22"/>
      <c r="E19" s="111">
        <f>Jahr-5</f>
        <v>2020</v>
      </c>
      <c r="F19" s="59"/>
      <c r="G19" s="48"/>
      <c r="H19" s="29"/>
      <c r="I19" s="57">
        <f t="shared" si="1"/>
        <v>0</v>
      </c>
    </row>
    <row r="20" spans="1:9" s="17" customFormat="1" x14ac:dyDescent="0.2">
      <c r="A20" s="124" t="s">
        <v>80</v>
      </c>
      <c r="B20" s="20" t="s">
        <v>79</v>
      </c>
      <c r="C20" s="20"/>
      <c r="D20" s="22"/>
      <c r="E20" s="111">
        <f>Jahr-6</f>
        <v>2019</v>
      </c>
      <c r="F20" s="59"/>
      <c r="G20" s="48"/>
      <c r="H20" s="29"/>
      <c r="I20" s="57">
        <f t="shared" si="1"/>
        <v>0</v>
      </c>
    </row>
    <row r="21" spans="1:9" s="17" customFormat="1" x14ac:dyDescent="0.2">
      <c r="A21" s="124" t="s">
        <v>80</v>
      </c>
      <c r="B21" s="20" t="s">
        <v>79</v>
      </c>
      <c r="C21" s="20"/>
      <c r="D21" s="22"/>
      <c r="E21" s="111">
        <f>Jahr-7</f>
        <v>2018</v>
      </c>
      <c r="F21" s="59"/>
      <c r="G21" s="48"/>
      <c r="H21" s="29"/>
      <c r="I21" s="57">
        <f t="shared" si="1"/>
        <v>0</v>
      </c>
    </row>
    <row r="22" spans="1:9" s="17" customFormat="1" x14ac:dyDescent="0.2">
      <c r="A22" s="21"/>
      <c r="B22" s="20"/>
      <c r="C22" s="20"/>
      <c r="D22" s="22"/>
      <c r="E22" s="25" t="s">
        <v>81</v>
      </c>
      <c r="F22" s="59"/>
      <c r="G22" s="48"/>
      <c r="H22" s="29"/>
      <c r="I22" s="57">
        <f t="shared" si="1"/>
        <v>0</v>
      </c>
    </row>
    <row r="23" spans="1:9" s="17" customFormat="1" x14ac:dyDescent="0.2">
      <c r="A23" s="11" t="str">
        <f>"Nachsteuern "&amp;Jahr</f>
        <v>Nachsteuern 2025</v>
      </c>
      <c r="B23" s="11"/>
      <c r="C23" s="11"/>
      <c r="D23" s="12"/>
      <c r="E23" s="112"/>
      <c r="F23" s="48"/>
      <c r="G23" s="48"/>
      <c r="H23" s="16"/>
      <c r="I23" s="57"/>
    </row>
    <row r="24" spans="1:9" s="17" customFormat="1" x14ac:dyDescent="0.2">
      <c r="A24" s="124" t="s">
        <v>39</v>
      </c>
      <c r="B24" s="20" t="s">
        <v>40</v>
      </c>
      <c r="C24" s="20"/>
      <c r="D24" s="22"/>
      <c r="E24" s="113"/>
      <c r="F24" s="59"/>
      <c r="G24" s="48"/>
      <c r="H24" s="29"/>
      <c r="I24" s="57">
        <f t="shared" ref="I24:I27" si="2">IF(F24&lt;&gt;"",F24*100/H24,0)</f>
        <v>0</v>
      </c>
    </row>
    <row r="25" spans="1:9" s="17" customFormat="1" x14ac:dyDescent="0.2">
      <c r="A25" s="124" t="s">
        <v>41</v>
      </c>
      <c r="B25" s="20" t="s">
        <v>42</v>
      </c>
      <c r="C25" s="20"/>
      <c r="D25" s="22"/>
      <c r="E25" s="113"/>
      <c r="F25" s="59"/>
      <c r="G25" s="48"/>
      <c r="H25" s="29"/>
      <c r="I25" s="57">
        <f t="shared" si="2"/>
        <v>0</v>
      </c>
    </row>
    <row r="26" spans="1:9" s="17" customFormat="1" x14ac:dyDescent="0.2">
      <c r="A26" s="124" t="s">
        <v>43</v>
      </c>
      <c r="B26" s="20" t="s">
        <v>44</v>
      </c>
      <c r="C26" s="20"/>
      <c r="D26" s="22"/>
      <c r="E26" s="113"/>
      <c r="F26" s="59"/>
      <c r="G26" s="48"/>
      <c r="H26" s="29"/>
      <c r="I26" s="57">
        <f t="shared" si="2"/>
        <v>0</v>
      </c>
    </row>
    <row r="27" spans="1:9" s="17" customFormat="1" x14ac:dyDescent="0.2">
      <c r="A27" s="124" t="s">
        <v>45</v>
      </c>
      <c r="B27" s="20" t="s">
        <v>46</v>
      </c>
      <c r="C27" s="20"/>
      <c r="D27" s="22"/>
      <c r="E27" s="113"/>
      <c r="F27" s="59"/>
      <c r="G27" s="48"/>
      <c r="H27" s="29"/>
      <c r="I27" s="57">
        <f t="shared" si="2"/>
        <v>0</v>
      </c>
    </row>
    <row r="28" spans="1:9" s="17" customFormat="1" x14ac:dyDescent="0.2">
      <c r="A28" s="11" t="str">
        <f>"Aktive Steuerausscheidungen (+) "&amp;Jahr</f>
        <v>Aktive Steuerausscheidungen (+) 2025</v>
      </c>
      <c r="B28" s="15"/>
      <c r="C28" s="15"/>
      <c r="D28" s="14"/>
      <c r="E28" s="114"/>
      <c r="F28" s="48"/>
      <c r="G28" s="48"/>
      <c r="H28" s="16"/>
      <c r="I28" s="57"/>
    </row>
    <row r="29" spans="1:9" s="17" customFormat="1" x14ac:dyDescent="0.2">
      <c r="A29" s="124" t="s">
        <v>47</v>
      </c>
      <c r="B29" s="20" t="s">
        <v>48</v>
      </c>
      <c r="C29" s="20"/>
      <c r="D29" s="14"/>
      <c r="E29" s="114"/>
      <c r="F29" s="59"/>
      <c r="G29" s="48"/>
      <c r="H29" s="29"/>
      <c r="I29" s="57">
        <f t="shared" ref="I29:I37" si="3">IF(F29&lt;&gt;"",F29*100/H29,0)</f>
        <v>0</v>
      </c>
    </row>
    <row r="30" spans="1:9" s="17" customFormat="1" x14ac:dyDescent="0.2">
      <c r="A30" s="124" t="s">
        <v>50</v>
      </c>
      <c r="B30" s="20" t="s">
        <v>49</v>
      </c>
      <c r="C30" s="20"/>
      <c r="D30" s="14"/>
      <c r="E30" s="114"/>
      <c r="F30" s="59"/>
      <c r="G30" s="48"/>
      <c r="H30" s="29"/>
      <c r="I30" s="57">
        <f t="shared" si="3"/>
        <v>0</v>
      </c>
    </row>
    <row r="31" spans="1:9" s="17" customFormat="1" x14ac:dyDescent="0.2">
      <c r="A31" s="124" t="s">
        <v>51</v>
      </c>
      <c r="B31" s="20" t="s">
        <v>52</v>
      </c>
      <c r="C31" s="20"/>
      <c r="D31" s="14"/>
      <c r="E31" s="114"/>
      <c r="F31" s="59"/>
      <c r="G31" s="48"/>
      <c r="H31" s="29"/>
      <c r="I31" s="57">
        <f t="shared" si="3"/>
        <v>0</v>
      </c>
    </row>
    <row r="32" spans="1:9" s="17" customFormat="1" x14ac:dyDescent="0.2">
      <c r="A32" s="124" t="s">
        <v>53</v>
      </c>
      <c r="B32" s="20" t="s">
        <v>54</v>
      </c>
      <c r="C32" s="20"/>
      <c r="D32" s="14"/>
      <c r="E32" s="114"/>
      <c r="F32" s="59"/>
      <c r="G32" s="48"/>
      <c r="H32" s="29"/>
      <c r="I32" s="57">
        <f t="shared" si="3"/>
        <v>0</v>
      </c>
    </row>
    <row r="33" spans="1:9" s="17" customFormat="1" x14ac:dyDescent="0.2">
      <c r="A33" s="11" t="str">
        <f>"Passive Steuerausscheidungen (-) "&amp;Jahr</f>
        <v>Passive Steuerausscheidungen (-) 2025</v>
      </c>
      <c r="B33" s="15"/>
      <c r="C33" s="15"/>
      <c r="D33" s="14"/>
      <c r="E33" s="114"/>
      <c r="F33" s="48"/>
      <c r="G33" s="48"/>
      <c r="H33" s="16"/>
      <c r="I33" s="57"/>
    </row>
    <row r="34" spans="1:9" s="17" customFormat="1" x14ac:dyDescent="0.2">
      <c r="A34" s="124" t="s">
        <v>55</v>
      </c>
      <c r="B34" s="20" t="s">
        <v>59</v>
      </c>
      <c r="C34" s="20"/>
      <c r="D34" s="14"/>
      <c r="E34" s="114"/>
      <c r="F34" s="59"/>
      <c r="G34" s="48"/>
      <c r="H34" s="29"/>
      <c r="I34" s="57">
        <f t="shared" si="3"/>
        <v>0</v>
      </c>
    </row>
    <row r="35" spans="1:9" s="17" customFormat="1" x14ac:dyDescent="0.2">
      <c r="A35" s="124" t="s">
        <v>56</v>
      </c>
      <c r="B35" s="20" t="s">
        <v>60</v>
      </c>
      <c r="C35" s="20"/>
      <c r="D35" s="14"/>
      <c r="E35" s="114"/>
      <c r="F35" s="59"/>
      <c r="G35" s="48"/>
      <c r="H35" s="29"/>
      <c r="I35" s="57">
        <f t="shared" si="3"/>
        <v>0</v>
      </c>
    </row>
    <row r="36" spans="1:9" s="17" customFormat="1" x14ac:dyDescent="0.2">
      <c r="A36" s="124" t="s">
        <v>57</v>
      </c>
      <c r="B36" s="20" t="s">
        <v>61</v>
      </c>
      <c r="C36" s="20"/>
      <c r="D36" s="14"/>
      <c r="E36" s="114"/>
      <c r="F36" s="59"/>
      <c r="G36" s="48"/>
      <c r="H36" s="29"/>
      <c r="I36" s="57">
        <f t="shared" si="3"/>
        <v>0</v>
      </c>
    </row>
    <row r="37" spans="1:9" s="17" customFormat="1" x14ac:dyDescent="0.2">
      <c r="A37" s="124" t="s">
        <v>58</v>
      </c>
      <c r="B37" s="20" t="s">
        <v>62</v>
      </c>
      <c r="C37" s="20"/>
      <c r="D37" s="14"/>
      <c r="E37" s="114"/>
      <c r="F37" s="59"/>
      <c r="G37" s="48"/>
      <c r="H37" s="29"/>
      <c r="I37" s="57">
        <f t="shared" si="3"/>
        <v>0</v>
      </c>
    </row>
    <row r="38" spans="1:9" s="17" customFormat="1" x14ac:dyDescent="0.2">
      <c r="A38" s="11" t="str">
        <f>"Pauschale Steueranrechnungen (-) "&amp;Jahr</f>
        <v>Pauschale Steueranrechnungen (-) 2025</v>
      </c>
      <c r="B38" s="15"/>
      <c r="C38" s="15"/>
      <c r="D38" s="14"/>
      <c r="E38" s="114"/>
      <c r="F38" s="48"/>
      <c r="G38" s="48"/>
      <c r="H38" s="16"/>
      <c r="I38" s="57"/>
    </row>
    <row r="39" spans="1:9" s="17" customFormat="1" x14ac:dyDescent="0.2">
      <c r="A39" s="124" t="s">
        <v>63</v>
      </c>
      <c r="B39" s="20" t="s">
        <v>97</v>
      </c>
      <c r="C39" s="20"/>
      <c r="D39" s="14"/>
      <c r="E39" s="114"/>
      <c r="F39" s="59"/>
      <c r="G39" s="48"/>
      <c r="H39" s="29"/>
      <c r="I39" s="57">
        <f t="shared" ref="I39:I40" si="4">IF(F39&lt;&gt;"",F39*100/H39,0)</f>
        <v>0</v>
      </c>
    </row>
    <row r="40" spans="1:9" s="17" customFormat="1" x14ac:dyDescent="0.2">
      <c r="A40" s="124" t="s">
        <v>64</v>
      </c>
      <c r="B40" s="20" t="s">
        <v>98</v>
      </c>
      <c r="C40" s="20"/>
      <c r="D40" s="14"/>
      <c r="E40" s="114"/>
      <c r="F40" s="59"/>
      <c r="G40" s="48"/>
      <c r="H40" s="29"/>
      <c r="I40" s="57">
        <f t="shared" si="4"/>
        <v>0</v>
      </c>
    </row>
    <row r="41" spans="1:9" s="17" customFormat="1" x14ac:dyDescent="0.2">
      <c r="A41" s="11" t="str">
        <f>"Quellensteuern "&amp;Jahr</f>
        <v>Quellensteuern 2025</v>
      </c>
      <c r="B41" s="15"/>
      <c r="C41" s="15"/>
      <c r="D41" s="14"/>
      <c r="E41" s="114"/>
      <c r="F41" s="48"/>
      <c r="G41" s="48"/>
      <c r="H41" s="16"/>
      <c r="I41" s="57"/>
    </row>
    <row r="42" spans="1:9" s="17" customFormat="1" x14ac:dyDescent="0.2">
      <c r="A42" s="124" t="s">
        <v>65</v>
      </c>
      <c r="B42" s="20" t="s">
        <v>66</v>
      </c>
      <c r="C42" s="20"/>
      <c r="D42" s="14"/>
      <c r="E42" s="114"/>
      <c r="F42" s="59"/>
      <c r="G42" s="48"/>
      <c r="H42" s="29"/>
      <c r="I42" s="57">
        <f t="shared" ref="I42:I43" si="5">IF(F42&lt;&gt;"",F42*100/H42,0)</f>
        <v>0</v>
      </c>
    </row>
    <row r="43" spans="1:9" s="17" customFormat="1" x14ac:dyDescent="0.2">
      <c r="A43" s="124" t="s">
        <v>67</v>
      </c>
      <c r="B43" s="20" t="s">
        <v>68</v>
      </c>
      <c r="C43" s="20"/>
      <c r="D43" s="14"/>
      <c r="E43" s="114"/>
      <c r="F43" s="59"/>
      <c r="G43" s="48"/>
      <c r="H43" s="29"/>
      <c r="I43" s="57">
        <f t="shared" si="5"/>
        <v>0</v>
      </c>
    </row>
    <row r="44" spans="1:9" s="17" customFormat="1" x14ac:dyDescent="0.2">
      <c r="A44" s="11" t="str">
        <f>"Abschreibungen und Erlass von Steuern (-) "&amp;Jahr</f>
        <v>Abschreibungen und Erlass von Steuern (-) 2025</v>
      </c>
      <c r="B44" s="11"/>
      <c r="C44" s="11"/>
      <c r="D44" s="12"/>
      <c r="E44" s="112"/>
      <c r="F44" s="15"/>
      <c r="G44" s="15"/>
      <c r="H44" s="16"/>
      <c r="I44" s="57"/>
    </row>
    <row r="45" spans="1:9" s="17" customFormat="1" x14ac:dyDescent="0.2">
      <c r="A45" s="123" t="s">
        <v>69</v>
      </c>
      <c r="B45" s="20" t="s">
        <v>70</v>
      </c>
      <c r="C45" s="20"/>
      <c r="D45" s="14"/>
      <c r="E45" s="114"/>
      <c r="F45" s="59"/>
      <c r="G45" s="48"/>
      <c r="H45" s="29"/>
      <c r="I45" s="57">
        <f>IF(F45&lt;&gt;"",F45*100/H45,0)</f>
        <v>0</v>
      </c>
    </row>
    <row r="46" spans="1:9" s="17" customFormat="1" x14ac:dyDescent="0.2">
      <c r="A46" s="15"/>
      <c r="B46" s="15"/>
      <c r="C46" s="15"/>
      <c r="D46" s="14"/>
      <c r="E46" s="114"/>
      <c r="F46" s="15"/>
      <c r="G46" s="15"/>
      <c r="H46" s="16"/>
      <c r="I46" s="57"/>
    </row>
    <row r="47" spans="1:9" s="13" customFormat="1" x14ac:dyDescent="0.2">
      <c r="A47" s="11" t="s">
        <v>6</v>
      </c>
      <c r="B47" s="11"/>
      <c r="C47" s="11"/>
      <c r="D47" s="23" t="s">
        <v>7</v>
      </c>
      <c r="E47" s="115"/>
      <c r="F47" s="60"/>
      <c r="G47" s="56"/>
      <c r="H47" s="24" t="str">
        <f>IF(F47&lt;&gt;"","&gt;&gt; manuell &gt;&gt;","")</f>
        <v/>
      </c>
      <c r="I47" s="58">
        <f>IF(F47&gt;0,F47,SUM(I9:I46))</f>
        <v>0</v>
      </c>
    </row>
    <row r="48" spans="1:9" s="17" customFormat="1" x14ac:dyDescent="0.2">
      <c r="A48" s="15"/>
      <c r="B48" s="15"/>
      <c r="C48" s="15"/>
      <c r="D48" s="14"/>
      <c r="E48" s="114"/>
      <c r="F48" s="15"/>
      <c r="G48" s="15"/>
      <c r="H48" s="16"/>
      <c r="I48" s="15"/>
    </row>
    <row r="49" spans="1:9" s="17" customFormat="1" x14ac:dyDescent="0.2">
      <c r="A49" s="15" t="str">
        <f>"Anzahl Einwohner per 31.12."&amp;Jahr</f>
        <v>Anzahl Einwohner per 31.12.2025</v>
      </c>
      <c r="B49" s="15"/>
      <c r="C49" s="15"/>
      <c r="D49" s="25"/>
      <c r="E49" s="25"/>
      <c r="F49" s="15"/>
      <c r="G49" s="15"/>
      <c r="H49" s="16"/>
      <c r="I49" s="30"/>
    </row>
    <row r="50" spans="1:9" s="17" customFormat="1" x14ac:dyDescent="0.2">
      <c r="A50" s="15"/>
      <c r="B50" s="15"/>
      <c r="C50" s="15"/>
      <c r="D50" s="14"/>
      <c r="E50" s="114"/>
      <c r="F50" s="15"/>
      <c r="G50" s="15"/>
      <c r="H50" s="16"/>
      <c r="I50" s="15"/>
    </row>
    <row r="51" spans="1:9" s="13" customFormat="1" x14ac:dyDescent="0.2">
      <c r="A51" s="11" t="s">
        <v>8</v>
      </c>
      <c r="B51" s="11"/>
      <c r="C51" s="11"/>
      <c r="D51" s="23" t="s">
        <v>7</v>
      </c>
      <c r="E51" s="115"/>
      <c r="F51" s="60"/>
      <c r="G51" s="56"/>
      <c r="H51" s="24" t="str">
        <f>IF(F51&lt;&gt;"","&gt;&gt; manuell &gt;&gt;","")</f>
        <v/>
      </c>
      <c r="I51" s="56">
        <f>IF($F$51&gt;0,$F$51,IF(I47&gt;0,ROUND($I$47/$I$49,0),0))</f>
        <v>0</v>
      </c>
    </row>
    <row r="53" spans="1:9" s="17" customFormat="1" ht="18" customHeight="1" x14ac:dyDescent="0.2">
      <c r="A53" s="3" t="s">
        <v>82</v>
      </c>
      <c r="B53" s="4"/>
      <c r="C53" s="4"/>
      <c r="D53" s="5"/>
      <c r="E53" s="116"/>
      <c r="F53" s="4"/>
      <c r="G53" s="4"/>
      <c r="H53" s="6"/>
      <c r="I53" s="4"/>
    </row>
    <row r="54" spans="1:9" s="17" customFormat="1" x14ac:dyDescent="0.2">
      <c r="A54" s="15" t="str">
        <f>"Gesamtsteuerfuss der Gemeinde im Jahr "&amp;Jahr&amp;" in %"</f>
        <v>Gesamtsteuerfuss der Gemeinde im Jahr 2025 in %</v>
      </c>
      <c r="B54" s="15"/>
      <c r="C54" s="15"/>
      <c r="D54" s="14"/>
      <c r="E54" s="114"/>
      <c r="F54" s="15"/>
      <c r="G54" s="15"/>
      <c r="H54" s="16"/>
      <c r="I54" s="40"/>
    </row>
    <row r="55" spans="1:9" s="17" customFormat="1" x14ac:dyDescent="0.2">
      <c r="A55" s="15" t="str">
        <f>"Kantonsmittel der relativen Steuerkraft "&amp;Jahr&amp;" (ohne Stadt Zürich), Schätzung"</f>
        <v>Kantonsmittel der relativen Steuerkraft 2025 (ohne Stadt Zürich), Schätzung</v>
      </c>
      <c r="B55" s="15"/>
      <c r="C55" s="15"/>
      <c r="D55" s="14"/>
      <c r="E55" s="114"/>
      <c r="F55" s="15"/>
      <c r="G55" s="15"/>
      <c r="H55" s="16"/>
      <c r="I55" s="122">
        <v>4454</v>
      </c>
    </row>
    <row r="56" spans="1:9" s="17" customFormat="1" x14ac:dyDescent="0.2">
      <c r="A56" s="15" t="str">
        <f>"Kantonsmittel der Gesamtsteuerfüsse "&amp;Jahr&amp;" (ohne Stadt Zürich), prov. gemäss letzt bekanntem Wert"</f>
        <v>Kantonsmittel der Gesamtsteuerfüsse 2025 (ohne Stadt Zürich), prov. gemäss letzt bekanntem Wert</v>
      </c>
      <c r="B56" s="15"/>
      <c r="C56" s="15"/>
      <c r="D56" s="14"/>
      <c r="E56" s="114"/>
      <c r="F56" s="15"/>
      <c r="G56" s="15"/>
      <c r="H56" s="16"/>
      <c r="I56" s="122">
        <v>98.57</v>
      </c>
    </row>
    <row r="57" spans="1:9" s="17" customFormat="1" x14ac:dyDescent="0.2">
      <c r="A57" s="26" t="s">
        <v>20</v>
      </c>
      <c r="B57" s="26"/>
      <c r="C57" s="26"/>
      <c r="D57" s="14"/>
      <c r="E57" s="114"/>
      <c r="F57" s="15"/>
      <c r="G57" s="15"/>
      <c r="H57" s="16"/>
      <c r="I57" s="27">
        <v>100.87</v>
      </c>
    </row>
    <row r="58" spans="1:9" s="17" customFormat="1" x14ac:dyDescent="0.2">
      <c r="A58" s="26" t="s">
        <v>24</v>
      </c>
      <c r="B58" s="26"/>
      <c r="C58" s="26"/>
      <c r="D58" s="14" t="str">
        <f>IF(AND(I56&lt;&gt;"",I57&lt;&gt;""),"(" &amp; $I$56 &amp; " / " &amp; $I$57 &amp; ")","")</f>
        <v>(98.57 / 100.87)</v>
      </c>
      <c r="E58" s="114"/>
      <c r="F58" s="15"/>
      <c r="G58" s="15"/>
      <c r="H58" s="16"/>
      <c r="I58" s="28">
        <f>IF(AND($I$56&lt;&gt;"",$I$57&lt;&gt;""),I56/I57,1)</f>
        <v>0.97719837414493893</v>
      </c>
    </row>
    <row r="60" spans="1:9" s="17" customFormat="1" ht="18" customHeight="1" x14ac:dyDescent="0.2">
      <c r="A60" s="3" t="str">
        <f>"Provisorische Ressourcenausgleichsbeiträge "&amp;Jahr+2</f>
        <v>Provisorische Ressourcenausgleichsbeiträge 2027</v>
      </c>
      <c r="B60" s="4"/>
      <c r="C60" s="4"/>
      <c r="D60" s="5"/>
      <c r="E60" s="116"/>
      <c r="F60" s="4"/>
      <c r="G60" s="4"/>
      <c r="H60" s="6"/>
      <c r="I60" s="4"/>
    </row>
    <row r="62" spans="1:9" ht="12.75" customHeight="1" x14ac:dyDescent="0.25">
      <c r="A62" s="41" t="str">
        <f>"Prov. Berechnung Ressourcenzuschuss "&amp;Jahr+2</f>
        <v>Prov. Berechnung Ressourcenzuschuss 2027</v>
      </c>
      <c r="B62" s="42"/>
      <c r="C62" s="42"/>
      <c r="D62" s="31"/>
      <c r="E62" s="117"/>
      <c r="F62" s="43"/>
      <c r="G62" s="43"/>
      <c r="H62" s="31"/>
      <c r="I62" s="43"/>
    </row>
    <row r="63" spans="1:9" x14ac:dyDescent="0.2">
      <c r="A63" s="44" t="s">
        <v>22</v>
      </c>
      <c r="B63" s="44"/>
      <c r="C63" s="44"/>
      <c r="D63" s="44" t="str">
        <f>"95% von Fr. " &amp; TEXT($I$55,"#'##0.00")</f>
        <v>95% von Fr. 4'454.00</v>
      </c>
      <c r="E63" s="118"/>
      <c r="F63" s="34"/>
      <c r="G63" s="34"/>
      <c r="H63" s="35"/>
      <c r="I63" s="39">
        <f>$I$55*0.95</f>
        <v>4231.3</v>
      </c>
    </row>
    <row r="64" spans="1:9" x14ac:dyDescent="0.2">
      <c r="A64" s="43" t="s">
        <v>9</v>
      </c>
      <c r="B64" s="43"/>
      <c r="C64" s="43"/>
      <c r="D64" s="32"/>
      <c r="E64" s="114"/>
      <c r="F64" s="43"/>
      <c r="G64" s="43"/>
      <c r="H64" s="33"/>
      <c r="I64" s="39">
        <f>-$I$51</f>
        <v>0</v>
      </c>
    </row>
    <row r="65" spans="1:9" x14ac:dyDescent="0.2">
      <c r="A65" s="44" t="s">
        <v>21</v>
      </c>
      <c r="B65" s="44"/>
      <c r="C65" s="44"/>
      <c r="D65" s="32"/>
      <c r="E65" s="114"/>
      <c r="F65" s="43"/>
      <c r="G65" s="43"/>
      <c r="H65" s="33"/>
      <c r="I65" s="39">
        <f>IF($I$51&gt;=I63,0,SUM(I63:I64))</f>
        <v>4231.3</v>
      </c>
    </row>
    <row r="66" spans="1:9" x14ac:dyDescent="0.2">
      <c r="A66" s="44" t="s">
        <v>23</v>
      </c>
      <c r="B66" s="44"/>
      <c r="C66" s="44"/>
      <c r="D66" s="43" t="str">
        <f>"Fr. " &amp; TEXT($I$65,"#'##0.00") &amp; " x " &amp; TEXT($I$49,"#'##0") &amp; " Einwohner"</f>
        <v>Fr. 4'231.30 x 0 Einwohner</v>
      </c>
      <c r="E66" s="16"/>
      <c r="F66" s="43"/>
      <c r="G66" s="43"/>
      <c r="H66" s="36"/>
      <c r="I66" s="39">
        <f>$I$65*$I$49</f>
        <v>0</v>
      </c>
    </row>
    <row r="67" spans="1:9" x14ac:dyDescent="0.2">
      <c r="A67" s="41" t="s">
        <v>10</v>
      </c>
      <c r="B67" s="45"/>
      <c r="C67" s="45"/>
      <c r="D67" s="44" t="str">
        <f>"Fr. " &amp; TEXT($I$66,"#'##0.00") &amp; " x " &amp; $I$54 &amp; "%"</f>
        <v>Fr. 0.00 x %</v>
      </c>
      <c r="E67" s="118"/>
      <c r="F67" s="37"/>
      <c r="G67" s="37"/>
      <c r="H67" s="33"/>
      <c r="I67" s="38" t="str">
        <f>IF($I$66&gt;0,ROUND($I$66*$I$54/100,0),"Kein Zuschuss")</f>
        <v>Kein Zuschuss</v>
      </c>
    </row>
    <row r="68" spans="1:9" x14ac:dyDescent="0.2">
      <c r="A68" s="41" t="s">
        <v>72</v>
      </c>
      <c r="B68" s="45"/>
      <c r="C68" s="45"/>
      <c r="D68" s="44"/>
      <c r="E68" s="118"/>
      <c r="F68" s="37"/>
      <c r="G68" s="37"/>
      <c r="H68" s="33"/>
      <c r="I68" s="38" t="str">
        <f>IF(I67="Kein Zuschuss","0",ROUNDDOWN(I67,-3))</f>
        <v>0</v>
      </c>
    </row>
    <row r="70" spans="1:9" s="17" customFormat="1" ht="12.75" customHeight="1" x14ac:dyDescent="0.2">
      <c r="A70" s="11" t="str">
        <f>"Prov. Berechnung Ressourcenabschöpfung "&amp;Jahr+2</f>
        <v>Prov. Berechnung Ressourcenabschöpfung 2027</v>
      </c>
      <c r="B70" s="46"/>
      <c r="C70" s="46"/>
      <c r="D70" s="47"/>
      <c r="E70" s="117"/>
      <c r="F70" s="15"/>
      <c r="G70" s="15"/>
      <c r="H70" s="47"/>
      <c r="I70" s="15"/>
    </row>
    <row r="71" spans="1:9" s="17" customFormat="1" x14ac:dyDescent="0.2">
      <c r="A71" s="15" t="s">
        <v>9</v>
      </c>
      <c r="B71" s="15"/>
      <c r="C71" s="15"/>
      <c r="D71" s="14"/>
      <c r="E71" s="114"/>
      <c r="F71" s="15"/>
      <c r="G71" s="15"/>
      <c r="H71" s="16"/>
      <c r="I71" s="54">
        <f>$I$51</f>
        <v>0</v>
      </c>
    </row>
    <row r="72" spans="1:9" s="17" customFormat="1" x14ac:dyDescent="0.2">
      <c r="A72" s="20" t="s">
        <v>25</v>
      </c>
      <c r="B72" s="20"/>
      <c r="C72" s="20"/>
      <c r="D72" s="26" t="str">
        <f>"110% von Fr. " &amp; TEXT($I$55,"#'##0.00")</f>
        <v>110% von Fr. 4'454.00</v>
      </c>
      <c r="E72" s="118"/>
      <c r="F72" s="49"/>
      <c r="G72" s="49"/>
      <c r="H72" s="50"/>
      <c r="I72" s="54">
        <f>-$I$55*1.1</f>
        <v>-4899.4000000000005</v>
      </c>
    </row>
    <row r="73" spans="1:9" s="17" customFormat="1" x14ac:dyDescent="0.2">
      <c r="A73" s="20" t="s">
        <v>27</v>
      </c>
      <c r="B73" s="20"/>
      <c r="C73" s="20"/>
      <c r="D73" s="15"/>
      <c r="E73" s="16"/>
      <c r="F73" s="15"/>
      <c r="G73" s="15"/>
      <c r="H73" s="16"/>
      <c r="I73" s="54">
        <f>IF(-$I$51&gt;=$I$72,0,SUM(I71:I72))</f>
        <v>0</v>
      </c>
    </row>
    <row r="74" spans="1:9" s="17" customFormat="1" x14ac:dyDescent="0.2">
      <c r="A74" s="20" t="s">
        <v>26</v>
      </c>
      <c r="B74" s="20"/>
      <c r="C74" s="20"/>
      <c r="D74" s="14" t="str">
        <f>"70% von Fr. " &amp; TEXT($I$73,"#'##0.00")</f>
        <v>70% von Fr. 0.00</v>
      </c>
      <c r="E74" s="114"/>
      <c r="F74" s="15"/>
      <c r="G74" s="15"/>
      <c r="H74" s="16"/>
      <c r="I74" s="54">
        <f>$I$73*0.7</f>
        <v>0</v>
      </c>
    </row>
    <row r="75" spans="1:9" s="17" customFormat="1" x14ac:dyDescent="0.2">
      <c r="A75" s="20" t="s">
        <v>28</v>
      </c>
      <c r="B75" s="20"/>
      <c r="C75" s="20"/>
      <c r="D75" s="15" t="str">
        <f>"Fr. " &amp; TEXT($I$74,"#'##0.00") &amp; " x " &amp; TEXT($I$49,"#'##0") &amp; " Einwohner"</f>
        <v>Fr. 0.00 x 0 Einwohner</v>
      </c>
      <c r="E75" s="16"/>
      <c r="F75" s="15"/>
      <c r="G75" s="15"/>
      <c r="H75" s="51"/>
      <c r="I75" s="54">
        <f>$I$74*$I$49</f>
        <v>0</v>
      </c>
    </row>
    <row r="76" spans="1:9" s="17" customFormat="1" x14ac:dyDescent="0.2">
      <c r="A76" s="11" t="s">
        <v>12</v>
      </c>
      <c r="B76" s="11"/>
      <c r="C76" s="11"/>
      <c r="D76" s="26" t="str">
        <f>"Fr. " &amp; TEXT($I$75,"#'##0.00") &amp; " x SF-Index " &amp; TEXT($I$58,"0.00000000")</f>
        <v>Fr. 0.00 x SF-Index 0.97719837</v>
      </c>
      <c r="E76" s="118"/>
      <c r="F76" s="52"/>
      <c r="G76" s="52"/>
      <c r="H76" s="16"/>
      <c r="I76" s="53" t="str">
        <f>IF($I$75&gt;0,ROUND($I$75*$I$58,0),"Keine Abschöpf.")</f>
        <v>Keine Abschöpf.</v>
      </c>
    </row>
    <row r="77" spans="1:9" x14ac:dyDescent="0.2">
      <c r="A77" s="41" t="s">
        <v>71</v>
      </c>
      <c r="B77" s="45"/>
      <c r="C77" s="45"/>
      <c r="D77" s="44"/>
      <c r="E77" s="118"/>
      <c r="F77" s="37"/>
      <c r="G77" s="37"/>
      <c r="H77" s="33"/>
      <c r="I77" s="38" t="str">
        <f>IF(I76="Keine Abschöpf.","0",ROUNDUP(I76,-3))</f>
        <v>0</v>
      </c>
    </row>
  </sheetData>
  <sheetProtection sheet="1" objects="1" scenarios="1"/>
  <mergeCells count="2">
    <mergeCell ref="F1:I1"/>
    <mergeCell ref="A7:D8"/>
  </mergeCells>
  <phoneticPr fontId="0" type="noConversion"/>
  <pageMargins left="0.74803149606299213" right="0.39370078740157483" top="0.59055118110236227" bottom="0.70866141732283472" header="0.39370078740157483" footer="0.31496062992125984"/>
  <pageSetup paperSize="9" scale="74" fitToHeight="0" orientation="portrait" r:id="rId1"/>
  <headerFooter alignWithMargins="0">
    <oddFooter>&amp;L&amp;9GF / 19.07.2022&amp;8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/>
  </sheetViews>
  <sheetFormatPr baseColWidth="10" defaultColWidth="13.7109375" defaultRowHeight="12.75" x14ac:dyDescent="0.2"/>
  <cols>
    <col min="1" max="1" width="14.140625" style="9" customWidth="1"/>
    <col min="2" max="2" width="38.85546875" style="9" customWidth="1"/>
    <col min="3" max="3" width="4.7109375" style="8" customWidth="1"/>
    <col min="4" max="4" width="15.5703125" style="8" customWidth="1"/>
    <col min="5" max="5" width="15.28515625" style="9" customWidth="1"/>
    <col min="6" max="6" width="15.7109375" style="10" customWidth="1"/>
    <col min="7" max="16384" width="13.7109375" style="9"/>
  </cols>
  <sheetData>
    <row r="1" spans="1:6" ht="15.75" customHeight="1" x14ac:dyDescent="0.25">
      <c r="A1" s="105" t="str">
        <f>Abgrenzung_Berechnung!A1</f>
        <v>Politische Gemeinde xxx</v>
      </c>
      <c r="B1" s="7"/>
    </row>
    <row r="2" spans="1:6" ht="12.75" customHeight="1" x14ac:dyDescent="0.25">
      <c r="A2" s="105"/>
    </row>
    <row r="3" spans="1:6" ht="15.75" x14ac:dyDescent="0.25">
      <c r="A3" s="105" t="str">
        <f>"Verteilung Ressourcenausgleich "&amp;Jahr+2</f>
        <v>Verteilung Ressourcenausgleich 2027</v>
      </c>
    </row>
    <row r="4" spans="1:6" ht="12.75" customHeight="1" x14ac:dyDescent="0.25">
      <c r="A4" s="105"/>
    </row>
    <row r="5" spans="1:6" ht="12.75" customHeight="1" x14ac:dyDescent="0.25">
      <c r="A5" s="105"/>
    </row>
    <row r="6" spans="1:6" s="17" customFormat="1" ht="18" customHeight="1" x14ac:dyDescent="0.2">
      <c r="A6" s="3" t="s">
        <v>94</v>
      </c>
      <c r="B6" s="4"/>
      <c r="C6" s="4"/>
      <c r="D6" s="4"/>
      <c r="E6" s="5"/>
      <c r="F6" s="116"/>
    </row>
    <row r="7" spans="1:6" s="73" customFormat="1" x14ac:dyDescent="0.2">
      <c r="A7" s="132"/>
      <c r="C7" s="74"/>
      <c r="D7" s="74"/>
      <c r="F7" s="75"/>
    </row>
    <row r="8" spans="1:6" s="76" customFormat="1" x14ac:dyDescent="0.2">
      <c r="A8" s="133" t="s">
        <v>83</v>
      </c>
    </row>
    <row r="9" spans="1:6" s="76" customFormat="1" x14ac:dyDescent="0.2">
      <c r="A9" s="134" t="s">
        <v>84</v>
      </c>
    </row>
    <row r="10" spans="1:6" s="76" customFormat="1" x14ac:dyDescent="0.2">
      <c r="A10" s="134" t="s">
        <v>85</v>
      </c>
    </row>
    <row r="11" spans="1:6" s="76" customFormat="1" x14ac:dyDescent="0.2">
      <c r="A11" s="133" t="s">
        <v>86</v>
      </c>
    </row>
    <row r="12" spans="1:6" s="76" customFormat="1" ht="12.75" customHeight="1" x14ac:dyDescent="0.2">
      <c r="A12" s="134" t="s">
        <v>87</v>
      </c>
    </row>
    <row r="13" spans="1:6" s="76" customFormat="1" x14ac:dyDescent="0.2">
      <c r="A13" s="134" t="s">
        <v>88</v>
      </c>
    </row>
    <row r="14" spans="1:6" s="77" customFormat="1" x14ac:dyDescent="0.2">
      <c r="A14" s="133" t="s">
        <v>89</v>
      </c>
      <c r="B14" s="73"/>
      <c r="C14" s="74"/>
      <c r="D14" s="74"/>
      <c r="E14" s="73"/>
      <c r="F14" s="75"/>
    </row>
    <row r="15" spans="1:6" s="70" customFormat="1" x14ac:dyDescent="0.2">
      <c r="A15" s="69"/>
      <c r="B15" s="69"/>
      <c r="C15" s="71"/>
      <c r="D15" s="71"/>
      <c r="E15" s="69"/>
      <c r="F15" s="72"/>
    </row>
    <row r="16" spans="1:6" s="65" customFormat="1" x14ac:dyDescent="0.2">
      <c r="A16" s="135"/>
      <c r="B16" s="9"/>
      <c r="C16" s="8"/>
      <c r="D16" s="8"/>
      <c r="E16" s="9"/>
      <c r="F16" s="10"/>
    </row>
    <row r="17" spans="1:6" s="17" customFormat="1" ht="18" customHeight="1" x14ac:dyDescent="0.2">
      <c r="A17" s="3" t="str">
        <f>Abgrenzung_Berechnung!A1&amp;"  (abrechnende Gemeinde)"</f>
        <v>Politische Gemeinde xxx  (abrechnende Gemeinde)</v>
      </c>
      <c r="B17" s="4"/>
      <c r="C17" s="4"/>
      <c r="D17" s="4"/>
      <c r="E17" s="5"/>
      <c r="F17" s="116"/>
    </row>
    <row r="18" spans="1:6" s="65" customFormat="1" x14ac:dyDescent="0.2">
      <c r="A18" s="20" t="str">
        <f>"Gesamter Ressourenausgleich "&amp;Jahr+2</f>
        <v>Gesamter Ressourenausgleich 2027</v>
      </c>
      <c r="B18" s="15"/>
      <c r="C18" s="14"/>
      <c r="D18" s="14"/>
      <c r="E18" s="95"/>
      <c r="F18" s="55"/>
    </row>
    <row r="19" spans="1:6" s="65" customFormat="1" x14ac:dyDescent="0.2">
      <c r="A19" s="20" t="str">
        <f>"Gesamtsteuerfuss "&amp;Jahr</f>
        <v>Gesamtsteuerfuss 2025</v>
      </c>
      <c r="B19" s="15"/>
      <c r="C19" s="14"/>
      <c r="D19" s="14"/>
      <c r="E19" s="68"/>
      <c r="F19" s="85" t="s">
        <v>11</v>
      </c>
    </row>
    <row r="20" spans="1:6" s="65" customFormat="1" x14ac:dyDescent="0.2">
      <c r="A20" s="62"/>
      <c r="B20" s="61"/>
      <c r="C20" s="62"/>
      <c r="D20" s="62"/>
      <c r="E20" s="62"/>
      <c r="F20" s="62"/>
    </row>
    <row r="21" spans="1:6" s="65" customFormat="1" x14ac:dyDescent="0.2">
      <c r="A21" s="62"/>
      <c r="B21" s="61"/>
      <c r="C21" s="62"/>
      <c r="D21" s="62"/>
      <c r="E21" s="62"/>
      <c r="F21" s="62"/>
    </row>
    <row r="22" spans="1:6" s="17" customFormat="1" ht="18" customHeight="1" x14ac:dyDescent="0.2">
      <c r="A22" s="3" t="s">
        <v>90</v>
      </c>
      <c r="B22" s="4"/>
      <c r="C22" s="4"/>
      <c r="D22" s="4"/>
      <c r="E22" s="5"/>
      <c r="F22" s="116"/>
    </row>
    <row r="23" spans="1:6" x14ac:dyDescent="0.2">
      <c r="A23" s="65"/>
      <c r="B23" s="65"/>
      <c r="C23" s="65"/>
      <c r="D23" s="65"/>
      <c r="E23" s="66"/>
      <c r="F23" s="66"/>
    </row>
    <row r="24" spans="1:6" x14ac:dyDescent="0.2">
      <c r="A24" s="65"/>
      <c r="B24" s="65"/>
      <c r="C24" s="65"/>
      <c r="D24" s="65"/>
      <c r="E24" s="66"/>
      <c r="F24" s="66"/>
    </row>
    <row r="25" spans="1:6" s="69" customFormat="1" x14ac:dyDescent="0.2">
      <c r="A25" s="125"/>
      <c r="B25" s="125"/>
      <c r="C25" s="125"/>
      <c r="D25" s="126" t="str">
        <f>"Steuerfuss "&amp;Jahr</f>
        <v>Steuerfuss 2025</v>
      </c>
      <c r="E25" s="126" t="s">
        <v>91</v>
      </c>
      <c r="F25" s="67" t="s">
        <v>13</v>
      </c>
    </row>
    <row r="26" spans="1:6" x14ac:dyDescent="0.2">
      <c r="A26" s="125" t="str">
        <f>A1</f>
        <v>Politische Gemeinde xxx</v>
      </c>
      <c r="B26" s="125"/>
      <c r="C26" s="125"/>
      <c r="D26" s="68"/>
      <c r="E26" s="127" t="str">
        <f>IF(D26&lt;&gt;"",D26 &amp; " / " &amp;$D$29,"")</f>
        <v/>
      </c>
      <c r="F26" s="130" t="e">
        <f>ROUND($E$18*D26/$D$29*2,1)/2</f>
        <v>#DIV/0!</v>
      </c>
    </row>
    <row r="27" spans="1:6" x14ac:dyDescent="0.2">
      <c r="A27" s="128" t="s">
        <v>95</v>
      </c>
      <c r="B27" s="128"/>
      <c r="C27" s="125"/>
      <c r="D27" s="68"/>
      <c r="E27" s="127" t="str">
        <f t="shared" ref="E27:E28" si="0">IF(D27&lt;&gt;"",D27 &amp; " / " &amp;$D$29,"")</f>
        <v/>
      </c>
      <c r="F27" s="130" t="e">
        <f t="shared" ref="F27:F28" si="1">ROUND($E$18*D27/$D$29*2,1)/2</f>
        <v>#DIV/0!</v>
      </c>
    </row>
    <row r="28" spans="1:6" x14ac:dyDescent="0.2">
      <c r="A28" s="128" t="s">
        <v>96</v>
      </c>
      <c r="B28" s="128"/>
      <c r="C28" s="125"/>
      <c r="D28" s="68"/>
      <c r="E28" s="127" t="str">
        <f t="shared" si="0"/>
        <v/>
      </c>
      <c r="F28" s="130" t="e">
        <f t="shared" si="1"/>
        <v>#DIV/0!</v>
      </c>
    </row>
    <row r="29" spans="1:6" x14ac:dyDescent="0.2">
      <c r="A29" s="125" t="s">
        <v>92</v>
      </c>
      <c r="B29" s="125"/>
      <c r="C29" s="125"/>
      <c r="D29" s="129">
        <f>SUM(D26:D28)</f>
        <v>0</v>
      </c>
      <c r="E29" s="127"/>
      <c r="F29" s="131" t="e">
        <f>SUM(F26:F28)</f>
        <v>#DIV/0!</v>
      </c>
    </row>
  </sheetData>
  <sheetProtection sheet="1" objects="1" scenarios="1"/>
  <pageMargins left="0.59055118110236227" right="0.39370078740157483" top="0.98425196850393704" bottom="0.94488188976377963" header="0.39370078740157483" footer="0.39370078740157483"/>
  <pageSetup paperSize="9" scale="89" fitToHeight="0" orientation="portrait" horizontalDpi="4294967292" r:id="rId1"/>
  <headerFooter alignWithMargins="0">
    <oddFooter>&amp;L&amp;9GF / &amp;D&amp;8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workbookViewId="0"/>
  </sheetViews>
  <sheetFormatPr baseColWidth="10" defaultColWidth="13.7109375" defaultRowHeight="12.75" x14ac:dyDescent="0.2"/>
  <cols>
    <col min="1" max="1" width="14.140625" style="9" customWidth="1"/>
    <col min="2" max="2" width="42.5703125" style="9" customWidth="1"/>
    <col min="3" max="3" width="15.5703125" style="8" bestFit="1" customWidth="1"/>
    <col min="4" max="4" width="4.7109375" style="8" customWidth="1"/>
    <col min="5" max="5" width="17.42578125" style="9" bestFit="1" customWidth="1"/>
    <col min="6" max="6" width="11.85546875" style="10" customWidth="1"/>
    <col min="7" max="7" width="2.7109375" style="9" bestFit="1" customWidth="1"/>
    <col min="8" max="16384" width="13.7109375" style="9"/>
  </cols>
  <sheetData>
    <row r="1" spans="1:7" ht="15.75" customHeight="1" x14ac:dyDescent="0.25">
      <c r="A1" s="105" t="str">
        <f>Abgrenzung_Berechnung!A1</f>
        <v>Politische Gemeinde xxx</v>
      </c>
      <c r="B1" s="7"/>
    </row>
    <row r="2" spans="1:7" ht="12.75" customHeight="1" x14ac:dyDescent="0.25">
      <c r="A2" s="105"/>
    </row>
    <row r="3" spans="1:7" ht="15.75" x14ac:dyDescent="0.25">
      <c r="A3" s="105" t="str">
        <f>"Verteilung Ressourcenausgleich "&amp;Jahr+2</f>
        <v>Verteilung Ressourcenausgleich 2027</v>
      </c>
    </row>
    <row r="4" spans="1:7" ht="12.75" customHeight="1" x14ac:dyDescent="0.25">
      <c r="A4" s="105"/>
    </row>
    <row r="5" spans="1:7" ht="12.75" customHeight="1" x14ac:dyDescent="0.25">
      <c r="A5" s="105"/>
    </row>
    <row r="6" spans="1:7" s="17" customFormat="1" ht="18" customHeight="1" x14ac:dyDescent="0.2">
      <c r="A6" s="3" t="s">
        <v>93</v>
      </c>
      <c r="B6" s="4"/>
      <c r="C6" s="4"/>
      <c r="D6" s="4"/>
      <c r="E6" s="5"/>
      <c r="F6" s="116"/>
      <c r="G6" s="4"/>
    </row>
    <row r="7" spans="1:7" s="73" customFormat="1" x14ac:dyDescent="0.2">
      <c r="A7" s="132"/>
      <c r="B7" s="132"/>
      <c r="C7" s="136"/>
      <c r="D7" s="136"/>
      <c r="F7" s="75"/>
    </row>
    <row r="8" spans="1:7" s="76" customFormat="1" x14ac:dyDescent="0.2">
      <c r="A8" s="76" t="s">
        <v>29</v>
      </c>
    </row>
    <row r="9" spans="1:7" s="76" customFormat="1" x14ac:dyDescent="0.2">
      <c r="A9" s="137"/>
    </row>
    <row r="10" spans="1:7" s="76" customFormat="1" x14ac:dyDescent="0.2">
      <c r="A10" s="145" t="s">
        <v>74</v>
      </c>
      <c r="B10" s="145"/>
      <c r="C10" s="145"/>
      <c r="D10" s="145"/>
    </row>
    <row r="11" spans="1:7" s="76" customFormat="1" ht="12.75" customHeight="1" x14ac:dyDescent="0.2">
      <c r="A11" s="146" t="s">
        <v>14</v>
      </c>
      <c r="B11" s="146"/>
      <c r="C11" s="146"/>
      <c r="D11" s="146"/>
    </row>
    <row r="12" spans="1:7" s="76" customFormat="1" x14ac:dyDescent="0.2">
      <c r="A12" s="138"/>
    </row>
    <row r="13" spans="1:7" s="77" customFormat="1" x14ac:dyDescent="0.2">
      <c r="A13" s="78" t="s">
        <v>15</v>
      </c>
      <c r="B13" s="73"/>
      <c r="C13" s="74"/>
      <c r="D13" s="74"/>
      <c r="E13" s="73"/>
      <c r="F13" s="75"/>
      <c r="G13" s="73"/>
    </row>
    <row r="14" spans="1:7" s="70" customFormat="1" x14ac:dyDescent="0.2">
      <c r="A14" s="69"/>
      <c r="B14" s="69"/>
      <c r="C14" s="71"/>
      <c r="D14" s="71"/>
      <c r="E14" s="69"/>
      <c r="F14" s="72"/>
      <c r="G14" s="69"/>
    </row>
    <row r="15" spans="1:7" s="65" customFormat="1" x14ac:dyDescent="0.2">
      <c r="A15" s="135"/>
      <c r="B15" s="135"/>
      <c r="C15" s="139"/>
      <c r="D15" s="139"/>
      <c r="E15" s="9"/>
      <c r="F15" s="10"/>
      <c r="G15" s="9"/>
    </row>
    <row r="16" spans="1:7" s="17" customFormat="1" ht="18" customHeight="1" x14ac:dyDescent="0.2">
      <c r="A16" s="3" t="str">
        <f>Abgrenzung_Berechnung!A1&amp;"  (abrechnende Gemeinde)"</f>
        <v>Politische Gemeinde xxx  (abrechnende Gemeinde)</v>
      </c>
      <c r="B16" s="4"/>
      <c r="C16" s="4"/>
      <c r="D16" s="4"/>
      <c r="E16" s="5"/>
      <c r="F16" s="116"/>
      <c r="G16" s="4"/>
    </row>
    <row r="17" spans="1:7" s="65" customFormat="1" x14ac:dyDescent="0.2">
      <c r="A17" s="20" t="str">
        <f>"Gesamter Ressourenausgleich "&amp;Jahr+2</f>
        <v>Gesamter Ressourenausgleich 2027</v>
      </c>
      <c r="B17" s="15"/>
      <c r="C17" s="14"/>
      <c r="D17" s="14"/>
      <c r="E17" s="95"/>
      <c r="F17" s="55"/>
      <c r="G17" s="55"/>
    </row>
    <row r="18" spans="1:7" s="65" customFormat="1" x14ac:dyDescent="0.2">
      <c r="A18" s="20" t="str">
        <f>"Gesamtsteuerfuss "&amp;Jahr</f>
        <v>Gesamtsteuerfuss 2025</v>
      </c>
      <c r="B18" s="15"/>
      <c r="C18" s="14"/>
      <c r="D18" s="14"/>
      <c r="E18" s="68"/>
      <c r="F18" s="85" t="s">
        <v>11</v>
      </c>
      <c r="G18" s="27"/>
    </row>
    <row r="19" spans="1:7" s="65" customFormat="1" x14ac:dyDescent="0.2">
      <c r="A19" s="62"/>
      <c r="B19" s="61"/>
      <c r="C19" s="62"/>
      <c r="D19" s="62"/>
      <c r="E19" s="62"/>
      <c r="F19" s="62"/>
      <c r="G19" s="64"/>
    </row>
    <row r="20" spans="1:7" s="65" customFormat="1" x14ac:dyDescent="0.2">
      <c r="A20" s="62"/>
      <c r="B20" s="61"/>
      <c r="C20" s="62"/>
      <c r="D20" s="62"/>
      <c r="E20" s="62"/>
      <c r="F20" s="62"/>
      <c r="G20" s="64"/>
    </row>
    <row r="21" spans="1:7" s="17" customFormat="1" ht="18" customHeight="1" x14ac:dyDescent="0.2">
      <c r="A21" s="3" t="s">
        <v>75</v>
      </c>
      <c r="B21" s="4"/>
      <c r="C21" s="4"/>
      <c r="D21" s="4"/>
      <c r="E21" s="5"/>
      <c r="F21" s="116"/>
      <c r="G21" s="4"/>
    </row>
    <row r="22" spans="1:7" x14ac:dyDescent="0.2">
      <c r="A22" s="65"/>
      <c r="B22" s="65"/>
      <c r="C22" s="65"/>
      <c r="D22" s="65"/>
      <c r="E22" s="66"/>
      <c r="F22" s="66"/>
      <c r="G22" s="63"/>
    </row>
    <row r="23" spans="1:7" x14ac:dyDescent="0.2">
      <c r="A23" s="65"/>
      <c r="B23" s="65"/>
      <c r="C23" s="65"/>
      <c r="D23" s="65"/>
      <c r="E23" s="66"/>
      <c r="F23" s="66"/>
      <c r="G23" s="63"/>
    </row>
    <row r="24" spans="1:7" s="69" customFormat="1" x14ac:dyDescent="0.2">
      <c r="A24" s="94" t="s">
        <v>16</v>
      </c>
      <c r="B24" s="99"/>
      <c r="C24" s="79"/>
      <c r="D24" s="79"/>
      <c r="E24" s="80"/>
      <c r="F24" s="81"/>
      <c r="G24" s="67"/>
    </row>
    <row r="25" spans="1:7" x14ac:dyDescent="0.2">
      <c r="A25" s="83" t="str">
        <f>"Steuerfuss "&amp;Jahr &amp; " " &amp; A24</f>
        <v>Steuerfuss 2025 Schulgemeinde B</v>
      </c>
      <c r="B25" s="84"/>
      <c r="C25" s="83"/>
      <c r="D25" s="83"/>
      <c r="E25" s="68"/>
      <c r="F25" s="85" t="s">
        <v>11</v>
      </c>
      <c r="G25" s="86"/>
    </row>
    <row r="26" spans="1:7" x14ac:dyDescent="0.2">
      <c r="A26" s="83"/>
      <c r="B26" s="84"/>
      <c r="C26" s="83"/>
      <c r="D26" s="83"/>
      <c r="E26" s="98"/>
      <c r="F26" s="85"/>
      <c r="G26" s="86"/>
    </row>
    <row r="27" spans="1:7" x14ac:dyDescent="0.2">
      <c r="A27" s="83" t="str">
        <f>"Absolute Steuerkraft "&amp;Jahr&amp;" "&amp;A1</f>
        <v>Absolute Steuerkraft 2025 Politische Gemeinde xxx</v>
      </c>
      <c r="B27" s="87"/>
      <c r="C27" s="82"/>
      <c r="D27" s="82"/>
      <c r="E27" s="95"/>
      <c r="F27" s="88">
        <v>100</v>
      </c>
      <c r="G27" s="85" t="s">
        <v>11</v>
      </c>
    </row>
    <row r="28" spans="1:7" x14ac:dyDescent="0.2">
      <c r="A28" s="83" t="str">
        <f>"Absolute Steuerkraft " &amp;Jahr &amp; " "&amp;A24</f>
        <v>Absolute Steuerkraft 2025 Schulgemeinde B</v>
      </c>
      <c r="B28" s="87"/>
      <c r="C28" s="89"/>
      <c r="D28" s="89"/>
      <c r="E28" s="95"/>
      <c r="F28" s="88" t="e">
        <f>ROUND(E28*100/E27,5)</f>
        <v>#DIV/0!</v>
      </c>
      <c r="G28" s="85" t="s">
        <v>11</v>
      </c>
    </row>
    <row r="29" spans="1:7" x14ac:dyDescent="0.2">
      <c r="A29" s="83"/>
      <c r="B29" s="84"/>
      <c r="C29" s="83"/>
      <c r="D29" s="83"/>
      <c r="E29" s="83"/>
      <c r="F29" s="83"/>
      <c r="G29" s="90"/>
    </row>
    <row r="30" spans="1:7" x14ac:dyDescent="0.2">
      <c r="A30" s="83" t="s">
        <v>30</v>
      </c>
      <c r="B30" s="84"/>
      <c r="C30" s="43"/>
      <c r="D30" s="43"/>
      <c r="E30" s="83"/>
      <c r="F30" s="83"/>
      <c r="G30" s="67"/>
    </row>
    <row r="31" spans="1:7" x14ac:dyDescent="0.2">
      <c r="A31" s="83"/>
      <c r="B31" s="84"/>
      <c r="C31" s="91" t="e">
        <f>TEXT($E$17,"#'##0") &amp; " x "&amp;E25&amp; " x "&amp;F28</f>
        <v>#DIV/0!</v>
      </c>
      <c r="D31" s="92" t="s">
        <v>17</v>
      </c>
      <c r="E31" s="141" t="e">
        <f>ROUND($E$17*E25/$E$18*F28/100*2,1)/2</f>
        <v>#DIV/0!</v>
      </c>
      <c r="F31" s="9"/>
    </row>
    <row r="32" spans="1:7" x14ac:dyDescent="0.2">
      <c r="A32" s="83"/>
      <c r="B32" s="43"/>
      <c r="C32" s="93" t="str">
        <f>$E$18&amp; " x 100"</f>
        <v xml:space="preserve"> x 100</v>
      </c>
      <c r="D32" s="93"/>
      <c r="E32" s="43"/>
      <c r="F32" s="83"/>
      <c r="G32" s="90"/>
    </row>
    <row r="33" spans="1:7" x14ac:dyDescent="0.2">
      <c r="A33" s="62"/>
      <c r="C33" s="96"/>
      <c r="D33" s="96"/>
      <c r="E33" s="62"/>
      <c r="F33" s="62"/>
      <c r="G33" s="64"/>
    </row>
    <row r="34" spans="1:7" x14ac:dyDescent="0.2">
      <c r="A34" s="65"/>
      <c r="B34" s="65"/>
      <c r="C34" s="65"/>
      <c r="D34" s="65"/>
      <c r="E34" s="66"/>
      <c r="F34" s="66"/>
      <c r="G34" s="63"/>
    </row>
    <row r="35" spans="1:7" s="69" customFormat="1" x14ac:dyDescent="0.2">
      <c r="A35" s="94" t="s">
        <v>18</v>
      </c>
      <c r="B35" s="99"/>
      <c r="C35" s="79"/>
      <c r="D35" s="79"/>
      <c r="E35" s="80"/>
      <c r="F35" s="81"/>
      <c r="G35" s="67"/>
    </row>
    <row r="36" spans="1:7" x14ac:dyDescent="0.2">
      <c r="A36" s="83" t="str">
        <f>"Steuerfuss "&amp;Jahr &amp; " " &amp; A35</f>
        <v>Steuerfuss 2025 Schulgemeinde C</v>
      </c>
      <c r="B36" s="84"/>
      <c r="C36" s="83"/>
      <c r="D36" s="83"/>
      <c r="E36" s="68"/>
      <c r="F36" s="85" t="s">
        <v>11</v>
      </c>
      <c r="G36" s="86"/>
    </row>
    <row r="37" spans="1:7" x14ac:dyDescent="0.2">
      <c r="A37" s="83"/>
      <c r="B37" s="84"/>
      <c r="C37" s="83"/>
      <c r="D37" s="83"/>
      <c r="E37" s="98"/>
      <c r="F37" s="85"/>
      <c r="G37" s="86"/>
    </row>
    <row r="38" spans="1:7" x14ac:dyDescent="0.2">
      <c r="A38" s="83" t="str">
        <f>"Absolute Steuerkraft "&amp;Jahr&amp;" "&amp;A1</f>
        <v>Absolute Steuerkraft 2025 Politische Gemeinde xxx</v>
      </c>
      <c r="B38" s="87"/>
      <c r="C38" s="82"/>
      <c r="D38" s="82"/>
      <c r="E38" s="95"/>
      <c r="F38" s="88">
        <v>100</v>
      </c>
      <c r="G38" s="85" t="s">
        <v>11</v>
      </c>
    </row>
    <row r="39" spans="1:7" x14ac:dyDescent="0.2">
      <c r="A39" s="83" t="str">
        <f>"Absolute Steuerkraft " &amp;Jahr &amp; " "&amp;A35</f>
        <v>Absolute Steuerkraft 2025 Schulgemeinde C</v>
      </c>
      <c r="B39" s="87"/>
      <c r="C39" s="89"/>
      <c r="D39" s="89"/>
      <c r="E39" s="95"/>
      <c r="F39" s="88" t="e">
        <f>ROUND(E39*100/E38,5)</f>
        <v>#DIV/0!</v>
      </c>
      <c r="G39" s="85" t="s">
        <v>11</v>
      </c>
    </row>
    <row r="40" spans="1:7" x14ac:dyDescent="0.2">
      <c r="A40" s="83"/>
      <c r="B40" s="84"/>
      <c r="C40" s="83"/>
      <c r="D40" s="83"/>
      <c r="E40" s="83"/>
      <c r="F40" s="83"/>
      <c r="G40" s="90"/>
    </row>
    <row r="41" spans="1:7" x14ac:dyDescent="0.2">
      <c r="A41" s="83" t="s">
        <v>30</v>
      </c>
      <c r="B41" s="84"/>
      <c r="C41" s="43"/>
      <c r="D41" s="43"/>
      <c r="E41" s="83"/>
      <c r="F41" s="83"/>
      <c r="G41" s="67"/>
    </row>
    <row r="42" spans="1:7" x14ac:dyDescent="0.2">
      <c r="A42" s="83"/>
      <c r="B42" s="84"/>
      <c r="C42" s="91" t="e">
        <f>TEXT($E$17,"#'##0") &amp; " x "&amp;E36&amp; " x "&amp;F39</f>
        <v>#DIV/0!</v>
      </c>
      <c r="D42" s="92" t="s">
        <v>17</v>
      </c>
      <c r="E42" s="141" t="e">
        <f>ROUND($E$17*E36/$E$18*F39/100*2,1)/2</f>
        <v>#DIV/0!</v>
      </c>
      <c r="F42" s="9"/>
    </row>
    <row r="43" spans="1:7" x14ac:dyDescent="0.2">
      <c r="A43" s="83"/>
      <c r="B43" s="43"/>
      <c r="C43" s="93" t="str">
        <f>$E$18&amp; " x 100"</f>
        <v xml:space="preserve"> x 100</v>
      </c>
      <c r="D43" s="93"/>
      <c r="E43" s="43"/>
      <c r="F43" s="83"/>
      <c r="G43" s="90"/>
    </row>
    <row r="44" spans="1:7" x14ac:dyDescent="0.2">
      <c r="A44" s="62"/>
      <c r="C44" s="97"/>
      <c r="D44" s="97"/>
      <c r="F44" s="62"/>
      <c r="G44" s="64"/>
    </row>
    <row r="45" spans="1:7" x14ac:dyDescent="0.2">
      <c r="A45" s="65"/>
      <c r="B45" s="65"/>
      <c r="C45" s="65"/>
      <c r="D45" s="65"/>
      <c r="E45" s="66"/>
      <c r="F45" s="66"/>
      <c r="G45" s="63"/>
    </row>
    <row r="46" spans="1:7" s="69" customFormat="1" x14ac:dyDescent="0.2">
      <c r="A46" s="94" t="s">
        <v>19</v>
      </c>
      <c r="B46" s="99"/>
      <c r="C46" s="79"/>
      <c r="D46" s="79"/>
      <c r="E46" s="80"/>
      <c r="F46" s="81"/>
      <c r="G46" s="67"/>
    </row>
    <row r="47" spans="1:7" x14ac:dyDescent="0.2">
      <c r="A47" s="83" t="str">
        <f>"Steuerfuss "&amp;Jahr &amp; " " &amp; A46</f>
        <v>Steuerfuss 2025 Schulgemeinde D</v>
      </c>
      <c r="B47" s="84"/>
      <c r="C47" s="83"/>
      <c r="D47" s="83"/>
      <c r="E47" s="68"/>
      <c r="F47" s="85" t="s">
        <v>11</v>
      </c>
      <c r="G47" s="86"/>
    </row>
    <row r="48" spans="1:7" x14ac:dyDescent="0.2">
      <c r="A48" s="83"/>
      <c r="B48" s="84"/>
      <c r="C48" s="83"/>
      <c r="D48" s="83"/>
      <c r="E48" s="98"/>
      <c r="F48" s="85"/>
      <c r="G48" s="86"/>
    </row>
    <row r="49" spans="1:7" x14ac:dyDescent="0.2">
      <c r="A49" s="83" t="str">
        <f>"Absolute Steuerkraft "&amp;Jahr&amp;" "&amp;A1</f>
        <v>Absolute Steuerkraft 2025 Politische Gemeinde xxx</v>
      </c>
      <c r="B49" s="87"/>
      <c r="C49" s="82"/>
      <c r="D49" s="82"/>
      <c r="E49" s="95"/>
      <c r="F49" s="88">
        <v>100</v>
      </c>
      <c r="G49" s="85" t="s">
        <v>11</v>
      </c>
    </row>
    <row r="50" spans="1:7" x14ac:dyDescent="0.2">
      <c r="A50" s="83" t="str">
        <f>"Absolute Steuerkraft " &amp;Jahr &amp; " "&amp;A46</f>
        <v>Absolute Steuerkraft 2025 Schulgemeinde D</v>
      </c>
      <c r="B50" s="87"/>
      <c r="C50" s="89"/>
      <c r="D50" s="89"/>
      <c r="E50" s="95"/>
      <c r="F50" s="88" t="e">
        <f>ROUND(E50*100/E49,5)</f>
        <v>#DIV/0!</v>
      </c>
      <c r="G50" s="85" t="s">
        <v>11</v>
      </c>
    </row>
    <row r="51" spans="1:7" x14ac:dyDescent="0.2">
      <c r="A51" s="83"/>
      <c r="B51" s="84"/>
      <c r="C51" s="83"/>
      <c r="D51" s="83"/>
      <c r="E51" s="83"/>
      <c r="F51" s="83"/>
      <c r="G51" s="90"/>
    </row>
    <row r="52" spans="1:7" x14ac:dyDescent="0.2">
      <c r="A52" s="83" t="s">
        <v>30</v>
      </c>
      <c r="B52" s="84"/>
      <c r="C52" s="43"/>
      <c r="D52" s="43"/>
      <c r="E52" s="83"/>
      <c r="F52" s="83"/>
      <c r="G52" s="67"/>
    </row>
    <row r="53" spans="1:7" x14ac:dyDescent="0.2">
      <c r="A53" s="83"/>
      <c r="B53" s="84"/>
      <c r="C53" s="91" t="e">
        <f>TEXT($E$17,"#'##0") &amp; " x "&amp;E47&amp; " x "&amp;F50</f>
        <v>#DIV/0!</v>
      </c>
      <c r="D53" s="92" t="s">
        <v>17</v>
      </c>
      <c r="E53" s="141" t="e">
        <f>ROUND($E$17*E47/$E$18*F50/100*2,1)/2</f>
        <v>#DIV/0!</v>
      </c>
      <c r="F53" s="9"/>
    </row>
    <row r="54" spans="1:7" x14ac:dyDescent="0.2">
      <c r="A54" s="83"/>
      <c r="B54" s="43"/>
      <c r="C54" s="93" t="str">
        <f>$E$18&amp; " x 100"</f>
        <v xml:space="preserve"> x 100</v>
      </c>
      <c r="D54" s="93"/>
      <c r="E54" s="43"/>
      <c r="F54" s="83"/>
      <c r="G54" s="90"/>
    </row>
    <row r="55" spans="1:7" s="17" customFormat="1" x14ac:dyDescent="0.2">
      <c r="A55" s="9"/>
      <c r="B55" s="9"/>
      <c r="C55" s="8"/>
      <c r="D55" s="8"/>
      <c r="E55" s="9"/>
      <c r="F55" s="10"/>
      <c r="G55" s="9"/>
    </row>
  </sheetData>
  <sheetProtection sheet="1" objects="1" scenarios="1"/>
  <mergeCells count="2">
    <mergeCell ref="A10:D10"/>
    <mergeCell ref="A11:D11"/>
  </mergeCells>
  <pageMargins left="0.59055118110236227" right="0.39370078740157483" top="0.98425196850393704" bottom="0.94488188976377963" header="0.39370078740157483" footer="0.39370078740157483"/>
  <pageSetup paperSize="9" scale="85" fitToHeight="0" orientation="portrait" horizontalDpi="4294967292" r:id="rId1"/>
  <headerFooter alignWithMargins="0">
    <oddFooter>&amp;L&amp;9GF / &amp;D&amp;8
&amp;Z&amp;F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Abgrenzung_Berechnung</vt:lpstr>
      <vt:lpstr>Verteilung (normal)</vt:lpstr>
      <vt:lpstr>Verteilung (speziell)</vt:lpstr>
      <vt:lpstr>Abgrenzung_Berechnung!Druckbereich</vt:lpstr>
      <vt:lpstr>'Verteilung (normal)'!Druckbereich</vt:lpstr>
      <vt:lpstr>'Verteilung (speziell)'!Druckbereich</vt:lpstr>
      <vt:lpstr>Jahr</vt:lpstr>
    </vt:vector>
  </TitlesOfParts>
  <Company>DJI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Steuerkraft und Ressourcenausgleich</dc:title>
  <dc:creator>GF</dc:creator>
  <cp:lastModifiedBy>Stefanie Marty</cp:lastModifiedBy>
  <cp:lastPrinted>2022-07-19T06:40:00Z</cp:lastPrinted>
  <dcterms:created xsi:type="dcterms:W3CDTF">2012-06-25T13:45:40Z</dcterms:created>
  <dcterms:modified xsi:type="dcterms:W3CDTF">2026-02-12T15:05:37Z</dcterms:modified>
</cp:coreProperties>
</file>