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G:\33-SI\33-5_OuG\33-5-4_Strassenoberbau\Lieferanten UG\Q-Datenblatt Kt Zürich\"/>
    </mc:Choice>
  </mc:AlternateContent>
  <xr:revisionPtr revIDLastSave="0" documentId="13_ncr:1_{14B04AB4-94C3-4E3C-9B68-8C17611FB7F9}" xr6:coauthVersionLast="47" xr6:coauthVersionMax="47" xr10:uidLastSave="{00000000-0000-0000-0000-000000000000}"/>
  <workbookProtection workbookAlgorithmName="SHA-512" workbookHashValue="XJ9TcRNqP3u5YqxrLQic6mCmrbX10coJgRQlE6IdJ45dmljZwnm9GuVebv3OjV7zU3kyq3lVL0seOgowVpNPxQ==" workbookSaltValue="uoWncmqWAD7l+v2ubYoY8g==" workbookSpinCount="100000" lockStructure="1"/>
  <bookViews>
    <workbookView xWindow="-28920" yWindow="-120" windowWidth="29040" windowHeight="17640" xr2:uid="{00000000-000D-0000-FFFF-FFFF00000000}"/>
  </bookViews>
  <sheets>
    <sheet name="Form_0-45" sheetId="1" r:id="rId1"/>
    <sheet name="Form_Liste" sheetId="4" state="hidden" r:id="rId2"/>
    <sheet name="Berechnungen" sheetId="5" state="hidden" r:id="rId3"/>
  </sheets>
  <externalReferences>
    <externalReference r:id="rId4"/>
  </externalReferences>
  <definedNames>
    <definedName name="__123Graph_A" hidden="1">'[1]AC 11'!$Z$63:$AU$63</definedName>
    <definedName name="__123Graph_B" hidden="1">'[1]AC 11'!$Z$62:$AU$62</definedName>
    <definedName name="__123Graph_D" hidden="1">'[1]AC 11'!$Z$64:$AU$64</definedName>
    <definedName name="__123Graph_X" hidden="1">'[1]AC 11'!$Z$61:$AU$61</definedName>
    <definedName name="_1__123Graph_ADiagramm_1" hidden="1">'[1]AC 11'!$Z$62:$AU$62</definedName>
    <definedName name="_2__123Graph_BDiagramm_1" hidden="1">'[1]AC 11'!$Z$63:$AU$63</definedName>
    <definedName name="_3__123Graph_CDiagramm_1" hidden="1">'[1]AC 11'!$Z$64:$AU$64</definedName>
    <definedName name="_4__123Graph_XDiagramm_1" hidden="1">'[1]AC 11'!$Z$61:$AU$61</definedName>
    <definedName name="_xlnm.Print_Area" localSheetId="0">'Form_0-45'!$A$1:$J$68</definedName>
    <definedName name="Jahr_der_Leistungserklärung">Form_Liste!$A$12:$A$14</definedName>
    <definedName name="NB_notified_body">Form_Liste!$E$5:$F$5</definedName>
    <definedName name="Norm">Form_Liste!$C$3:$C$4</definedName>
    <definedName name="SCERT">Form_Liste!$F$3</definedName>
    <definedName name="SÜGB">Form_Liste!$E$3</definedName>
    <definedName name="System">Form_Liste!$B$3:$B$5</definedName>
    <definedName name="Verwendung">Form_Liste!$A$3:$A$4</definedName>
    <definedName name="Zertifizierung">Form_Liste!$E$2:$F$2</definedName>
    <definedName name="Zertifizierungsstelle">INDIRECT('Form_0-45'!$J$7)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6" i="1" l="1"/>
  <c r="I38" i="1"/>
  <c r="J38" i="1"/>
  <c r="I45" i="1" l="1"/>
  <c r="A45" i="1"/>
  <c r="B17" i="4" l="1"/>
  <c r="B11" i="4"/>
  <c r="J39" i="1" l="1"/>
  <c r="I39" i="1"/>
  <c r="G72" i="4"/>
  <c r="G46" i="1"/>
  <c r="I46" i="1" s="1"/>
  <c r="D46" i="1"/>
  <c r="I52" i="1"/>
  <c r="I51" i="1"/>
  <c r="F38" i="1" l="1"/>
  <c r="G38" i="1" l="1"/>
  <c r="H38" i="1"/>
  <c r="E38" i="1"/>
  <c r="D38" i="1"/>
  <c r="I53" i="1"/>
  <c r="C38" i="1"/>
  <c r="B38" i="1"/>
  <c r="W24" i="5" l="1"/>
  <c r="U24" i="5"/>
  <c r="S24" i="5"/>
  <c r="Q24" i="5"/>
  <c r="P17" i="5" l="1"/>
  <c r="P16" i="5"/>
  <c r="C11" i="4" l="1"/>
  <c r="I7" i="1"/>
  <c r="C17" i="4" l="1"/>
  <c r="E69" i="4" a="1"/>
  <c r="I69" i="4" a="1"/>
  <c r="E72" i="4" l="1"/>
  <c r="F72" i="4" s="1"/>
  <c r="E71" i="4"/>
  <c r="F71" i="4" s="1"/>
  <c r="E75" i="4"/>
  <c r="F75" i="4" s="1"/>
  <c r="E70" i="4"/>
  <c r="F70" i="4" s="1"/>
  <c r="E74" i="4"/>
  <c r="F74" i="4" s="1"/>
  <c r="E69" i="4"/>
  <c r="F69" i="4" s="1"/>
  <c r="E73" i="4"/>
  <c r="F73" i="4" s="1"/>
  <c r="I71" i="4"/>
  <c r="J71" i="4" s="1"/>
  <c r="I72" i="4"/>
  <c r="J72" i="4" s="1"/>
  <c r="I70" i="4"/>
  <c r="J70" i="4" s="1"/>
  <c r="I74" i="4"/>
  <c r="J74" i="4" s="1"/>
  <c r="I69" i="4"/>
  <c r="J69" i="4" s="1"/>
  <c r="I73" i="4"/>
  <c r="J73" i="4" s="1"/>
  <c r="I75" i="4"/>
  <c r="J75" i="4" s="1"/>
  <c r="F76" i="4" l="1"/>
  <c r="F77" i="4" s="1"/>
  <c r="J76" i="4"/>
  <c r="J77" i="4" s="1"/>
  <c r="I24" i="5"/>
  <c r="B63" i="4"/>
  <c r="A63" i="4"/>
  <c r="Y24" i="5" l="1"/>
  <c r="Z24" i="5"/>
  <c r="X24" i="5" l="1"/>
  <c r="V24" i="5"/>
  <c r="T24" i="5"/>
  <c r="R24" i="5"/>
  <c r="O24" i="5"/>
  <c r="P24" i="5" s="1"/>
  <c r="M24" i="5"/>
  <c r="K24" i="5"/>
  <c r="E24" i="5"/>
  <c r="G24" i="5" s="1"/>
  <c r="Z20" i="5"/>
  <c r="Y20" i="5"/>
  <c r="X20" i="5"/>
  <c r="W20" i="5"/>
  <c r="V20" i="5"/>
  <c r="U20" i="5"/>
  <c r="T20" i="5"/>
  <c r="S20" i="5"/>
  <c r="R20" i="5"/>
  <c r="Q20" i="5"/>
  <c r="O20" i="5"/>
  <c r="M20" i="5"/>
  <c r="K20" i="5"/>
  <c r="I20" i="5"/>
  <c r="G20" i="5"/>
  <c r="U25" i="5" l="1"/>
  <c r="U29" i="5" s="1"/>
  <c r="S25" i="5"/>
  <c r="S29" i="5" s="1"/>
  <c r="P25" i="5"/>
  <c r="P29" i="5" s="1"/>
  <c r="N25" i="5"/>
  <c r="N29" i="5" s="1"/>
  <c r="N24" i="5"/>
  <c r="L25" i="5"/>
  <c r="L24" i="5"/>
  <c r="E20" i="5"/>
  <c r="A20" i="5"/>
  <c r="U17" i="5"/>
  <c r="S17" i="5"/>
  <c r="N17" i="5"/>
  <c r="L17" i="5"/>
  <c r="U16" i="5"/>
  <c r="S16" i="5"/>
  <c r="N16" i="5"/>
  <c r="L16" i="5"/>
  <c r="X14" i="5" s="1"/>
  <c r="V14" i="5" s="1"/>
  <c r="T14" i="5" s="1"/>
  <c r="R14" i="5" s="1"/>
  <c r="O14" i="5" s="1"/>
  <c r="M14" i="5"/>
  <c r="K14" i="5" s="1"/>
  <c r="W12" i="5"/>
  <c r="U12" i="5"/>
  <c r="S12" i="5"/>
  <c r="Q12" i="5"/>
  <c r="P12" i="5"/>
  <c r="N12" i="5"/>
  <c r="L12" i="5"/>
  <c r="J12" i="5"/>
  <c r="I12" i="5"/>
  <c r="H12" i="5"/>
  <c r="G12" i="5"/>
  <c r="F12" i="5"/>
  <c r="W11" i="5"/>
  <c r="U11" i="5"/>
  <c r="S11" i="5"/>
  <c r="Q11" i="5"/>
  <c r="P11" i="5"/>
  <c r="N11" i="5"/>
  <c r="L11" i="5"/>
  <c r="J11" i="5"/>
  <c r="I11" i="5"/>
  <c r="H11" i="5"/>
  <c r="G11" i="5"/>
  <c r="F11" i="5"/>
  <c r="Z10" i="5"/>
  <c r="Y10" i="5"/>
  <c r="X10" i="5"/>
  <c r="W10" i="5"/>
  <c r="A53" i="4" s="1"/>
  <c r="V10" i="5"/>
  <c r="U10" i="5"/>
  <c r="A55" i="4" s="1"/>
  <c r="T10" i="5"/>
  <c r="S10" i="5"/>
  <c r="A57" i="4" s="1"/>
  <c r="R10" i="5"/>
  <c r="Q10" i="5"/>
  <c r="A59" i="4" s="1"/>
  <c r="O10" i="5"/>
  <c r="M10" i="5"/>
  <c r="K10" i="5"/>
  <c r="I10" i="5"/>
  <c r="G10" i="5"/>
  <c r="E10" i="5"/>
  <c r="B64" i="4"/>
  <c r="B62" i="4"/>
  <c r="B61" i="4"/>
  <c r="B60" i="4"/>
  <c r="A60" i="4" s="1"/>
  <c r="B58" i="4"/>
  <c r="B56" i="4"/>
  <c r="B54" i="4"/>
  <c r="B52" i="4"/>
  <c r="A52" i="4" s="1"/>
  <c r="B51" i="4"/>
  <c r="E14" i="5"/>
  <c r="A62" i="4" l="1"/>
  <c r="A54" i="4"/>
  <c r="A61" i="4"/>
  <c r="A56" i="4"/>
  <c r="A51" i="4"/>
  <c r="A58" i="4"/>
  <c r="A64" i="4"/>
  <c r="D29" i="5"/>
  <c r="F29" i="5" s="1"/>
  <c r="I33" i="1" s="1"/>
  <c r="D14" i="5"/>
  <c r="F14" i="5" s="1"/>
  <c r="E2" i="4"/>
  <c r="F2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Gerhard Christen</author>
    <author>Christen Gerhard</author>
  </authors>
  <commentList>
    <comment ref="D11" authorId="0" shapeId="0" xr:uid="{55C6F3A6-E7D0-401E-905F-83626D0DDDCF}">
      <text>
        <r>
          <rPr>
            <b/>
            <sz val="9"/>
            <color indexed="81"/>
            <rFont val="Segoe UI"/>
            <family val="2"/>
          </rPr>
          <t>Auswahl aus Liste treffen und Name des Werk / der Grube ergänzen 
oder (wenn nichts zutreffend) 
selber beschreiben</t>
        </r>
      </text>
    </comment>
    <comment ref="D13" authorId="0" shapeId="0" xr:uid="{46D41770-FBA8-47B0-BD08-8BE3AC5E5BA5}">
      <text>
        <r>
          <rPr>
            <b/>
            <sz val="9"/>
            <color indexed="81"/>
            <rFont val="Segoe UI"/>
            <family val="2"/>
          </rPr>
          <t>Auswahl aus Liste treffen oder (wenn nichts zutreffend) selber beschreiben</t>
        </r>
      </text>
    </comment>
    <comment ref="I55" authorId="1" shapeId="0" xr:uid="{00000000-0006-0000-0000-000001000000}">
      <text>
        <r>
          <rPr>
            <b/>
            <sz val="9"/>
            <color indexed="81"/>
            <rFont val="Segoe UI"/>
            <family val="2"/>
          </rPr>
          <t>Eingabe als Dezimalzahl, z.B. 0.000015</t>
        </r>
      </text>
    </comment>
    <comment ref="I56" authorId="1" shapeId="0" xr:uid="{00000000-0006-0000-0000-000002000000}">
      <text>
        <r>
          <rPr>
            <b/>
            <sz val="9"/>
            <color indexed="81"/>
            <rFont val="Tahoma"/>
            <family val="2"/>
          </rPr>
          <t>Trockendichte bezogen auf Gesamtprobe angeben ("Baustellenwert")</t>
        </r>
      </text>
    </comment>
    <comment ref="I57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>Optimaler Wassergehalt bezogen auf Gesamtprobe angeben ("Baustellenwert")</t>
        </r>
      </text>
    </comment>
  </commentList>
</comments>
</file>

<file path=xl/sharedStrings.xml><?xml version="1.0" encoding="utf-8"?>
<sst xmlns="http://schemas.openxmlformats.org/spreadsheetml/2006/main" count="411" uniqueCount="294">
  <si>
    <t>Anforderungen an Gesteinskörnungen</t>
  </si>
  <si>
    <t>Grobe Gesteinskörnungen</t>
  </si>
  <si>
    <t>Feine Gesteinskörnungen</t>
  </si>
  <si>
    <t>Plattikeitskennzahl</t>
  </si>
  <si>
    <t>Gehalt an Feinanteilen</t>
  </si>
  <si>
    <t>Qualität der Feinanteile</t>
  </si>
  <si>
    <t>Waserlöslische Sulfate</t>
  </si>
  <si>
    <t>Verunreinigungen</t>
  </si>
  <si>
    <t>Bezeichnung des Gemisches</t>
  </si>
  <si>
    <t>Oberer Grenzwert für den Feinanteil</t>
  </si>
  <si>
    <t>Unterer Grenzwert für den Feinanteil</t>
  </si>
  <si>
    <t>Korngrössenverteilungsbereich</t>
  </si>
  <si>
    <t>Korngrössenverteilung der einzelnen Lose</t>
  </si>
  <si>
    <t>Trockendichte</t>
  </si>
  <si>
    <t>Gc80/20</t>
  </si>
  <si>
    <t>GF80</t>
  </si>
  <si>
    <t>GA75</t>
  </si>
  <si>
    <t>FI35</t>
  </si>
  <si>
    <t>Eigenschaften der Gesteinskörnungen</t>
  </si>
  <si>
    <t>Eigenschaften für ungebundene Gemische</t>
  </si>
  <si>
    <t>Anforderungen an ungebundene Gemische</t>
  </si>
  <si>
    <t>0/45</t>
  </si>
  <si>
    <t>UF12</t>
  </si>
  <si>
    <t>LFN</t>
  </si>
  <si>
    <t>OC75</t>
  </si>
  <si>
    <t>GC</t>
  </si>
  <si>
    <t>Soll-Werte</t>
  </si>
  <si>
    <t>ist anzugeben</t>
  </si>
  <si>
    <t>CBR 2 / CBR   &gt;=0.5</t>
  </si>
  <si>
    <t>CBR F / CBR   &gt;=0.5</t>
  </si>
  <si>
    <t>Ist-Werte</t>
  </si>
  <si>
    <t>Labor Oberbau und Geotechnik, Baudirektion Kanton Zürich</t>
  </si>
  <si>
    <t>Prüfsiebe # (mm)</t>
  </si>
  <si>
    <t>0.5</t>
  </si>
  <si>
    <t>1</t>
  </si>
  <si>
    <t>2</t>
  </si>
  <si>
    <t>8</t>
  </si>
  <si>
    <t>11.2</t>
  </si>
  <si>
    <t>16</t>
  </si>
  <si>
    <t>22.4</t>
  </si>
  <si>
    <t>31.5</t>
  </si>
  <si>
    <t>45</t>
  </si>
  <si>
    <t>Istwert (kum. Durchgang)</t>
  </si>
  <si>
    <t>Anforderung erfüllt</t>
  </si>
  <si>
    <t>Ungebundene Gemische: Norm-Sieblinienbereich, Typische Kornzusammensetzung, Norm-Toleranz für Produktion und Summationskurve</t>
  </si>
  <si>
    <t>Sieb gem. Norm</t>
  </si>
  <si>
    <t>G</t>
  </si>
  <si>
    <t>F</t>
  </si>
  <si>
    <t>E</t>
  </si>
  <si>
    <t>C</t>
  </si>
  <si>
    <t>(B-C)</t>
  </si>
  <si>
    <t>B</t>
  </si>
  <si>
    <t>(A-B)</t>
  </si>
  <si>
    <t>A</t>
  </si>
  <si>
    <t>Norm-Grenzwert unten</t>
  </si>
  <si>
    <t>Norm-Grenzwert oben</t>
  </si>
  <si>
    <t>Stetigkeit (Differenz Siebdurchgänge)</t>
  </si>
  <si>
    <t>Anforderung Min.</t>
  </si>
  <si>
    <t>Anforderung Max.</t>
  </si>
  <si>
    <t>Ra</t>
  </si>
  <si>
    <t>Rb</t>
  </si>
  <si>
    <t>Rc</t>
  </si>
  <si>
    <t>Ru</t>
  </si>
  <si>
    <t>Rg</t>
  </si>
  <si>
    <t>Glas</t>
  </si>
  <si>
    <t>X</t>
  </si>
  <si>
    <t>FL</t>
  </si>
  <si>
    <t>Legende:</t>
  </si>
  <si>
    <t>Sollwert: typische Kornzusammensetzung</t>
  </si>
  <si>
    <t>Istwert: kumulierter Siebdurchgang</t>
  </si>
  <si>
    <t>Asphalt (bitumenhaltiges Material)</t>
  </si>
  <si>
    <t>Mauerziegel, Kalksandstein, Porenbeton</t>
  </si>
  <si>
    <t>Beton, Betonprodukte, hydr. geb. Material</t>
  </si>
  <si>
    <t>Kies (ungebunden, natürlich), Natursteine</t>
  </si>
  <si>
    <t>Metall/Holz/Plastik/Gummi/Gips (nicht schw.)</t>
  </si>
  <si>
    <t>Kategorie</t>
  </si>
  <si>
    <t>Schwimmendes Material [cm3/kg]</t>
  </si>
  <si>
    <t>RC-Kiesgemisch B</t>
  </si>
  <si>
    <t xml:space="preserve">Ungebundene Gemische und Lockergesteine - Siebanalyse </t>
  </si>
  <si>
    <t>Hilfsskala</t>
  </si>
  <si>
    <t>Gesteinskörnungsgemisch</t>
  </si>
  <si>
    <t>M-%</t>
  </si>
  <si>
    <t>0 - 12</t>
  </si>
  <si>
    <t>Stetigkeit:</t>
  </si>
  <si>
    <t xml:space="preserve">Anteil gebrochener Körner </t>
  </si>
  <si>
    <t>Ist-Wert</t>
  </si>
  <si>
    <r>
      <t>C</t>
    </r>
    <r>
      <rPr>
        <vertAlign val="subscript"/>
        <sz val="9"/>
        <color theme="1"/>
        <rFont val="Calibri"/>
        <family val="2"/>
        <scheme val="minor"/>
      </rPr>
      <t xml:space="preserve"> xx/xx</t>
    </r>
  </si>
  <si>
    <t xml:space="preserve">Widerstand gegen Zertrümmerung </t>
  </si>
  <si>
    <r>
      <t xml:space="preserve">LA </t>
    </r>
    <r>
      <rPr>
        <vertAlign val="subscript"/>
        <sz val="9"/>
        <color theme="1"/>
        <rFont val="Calibri"/>
        <family val="2"/>
        <scheme val="minor"/>
      </rPr>
      <t>xx</t>
    </r>
  </si>
  <si>
    <r>
      <t>FI</t>
    </r>
    <r>
      <rPr>
        <vertAlign val="subscript"/>
        <sz val="9"/>
        <color theme="1"/>
        <rFont val="Calibri"/>
        <family val="2"/>
        <scheme val="minor"/>
      </rPr>
      <t xml:space="preserve"> xx</t>
    </r>
  </si>
  <si>
    <r>
      <t xml:space="preserve">UF </t>
    </r>
    <r>
      <rPr>
        <vertAlign val="subscript"/>
        <sz val="9"/>
        <color theme="1"/>
        <rFont val="Calibri"/>
        <family val="2"/>
        <scheme val="minor"/>
      </rPr>
      <t>x</t>
    </r>
  </si>
  <si>
    <r>
      <t xml:space="preserve">LF </t>
    </r>
    <r>
      <rPr>
        <vertAlign val="subscript"/>
        <sz val="9"/>
        <color theme="1"/>
        <rFont val="Calibri"/>
        <family val="2"/>
        <scheme val="minor"/>
      </rPr>
      <t>N</t>
    </r>
  </si>
  <si>
    <r>
      <t xml:space="preserve">OC </t>
    </r>
    <r>
      <rPr>
        <vertAlign val="subscript"/>
        <sz val="9"/>
        <color theme="1"/>
        <rFont val="Calibri"/>
        <family val="2"/>
        <scheme val="minor"/>
      </rPr>
      <t>xx</t>
    </r>
  </si>
  <si>
    <t>%</t>
  </si>
  <si>
    <r>
      <t xml:space="preserve">f </t>
    </r>
    <r>
      <rPr>
        <vertAlign val="subscript"/>
        <sz val="9"/>
        <color theme="1"/>
        <rFont val="Calibri"/>
        <family val="2"/>
        <scheme val="minor"/>
      </rPr>
      <t>x</t>
    </r>
  </si>
  <si>
    <t>x.x</t>
  </si>
  <si>
    <r>
      <t>kg/m</t>
    </r>
    <r>
      <rPr>
        <vertAlign val="superscript"/>
        <sz val="9"/>
        <color theme="1"/>
        <rFont val="Calibri"/>
        <family val="2"/>
        <scheme val="minor"/>
      </rPr>
      <t>3</t>
    </r>
  </si>
  <si>
    <t>x.x %</t>
  </si>
  <si>
    <t>Datum:</t>
  </si>
  <si>
    <r>
      <t>FI</t>
    </r>
    <r>
      <rPr>
        <vertAlign val="subscript"/>
        <sz val="8"/>
        <color theme="1"/>
        <rFont val="Arial"/>
        <family val="2"/>
      </rPr>
      <t>20</t>
    </r>
    <r>
      <rPr>
        <sz val="8"/>
        <color theme="1"/>
        <rFont val="Arial"/>
        <family val="2"/>
      </rPr>
      <t xml:space="preserve"> / FI</t>
    </r>
    <r>
      <rPr>
        <vertAlign val="subscript"/>
        <sz val="8"/>
        <color theme="1"/>
        <rFont val="Arial"/>
        <family val="2"/>
      </rPr>
      <t>35</t>
    </r>
  </si>
  <si>
    <r>
      <t>FI</t>
    </r>
    <r>
      <rPr>
        <vertAlign val="subscript"/>
        <sz val="8"/>
        <color theme="1"/>
        <rFont val="Arial"/>
        <family val="2"/>
      </rPr>
      <t>35</t>
    </r>
  </si>
  <si>
    <t>nicht konform</t>
  </si>
  <si>
    <t>4/8, 8/16, 16/32, 32/45</t>
  </si>
  <si>
    <t>a, d</t>
  </si>
  <si>
    <t>4/8, 11/16</t>
  </si>
  <si>
    <r>
      <t xml:space="preserve">SS </t>
    </r>
    <r>
      <rPr>
        <vertAlign val="subscript"/>
        <sz val="8"/>
        <color theme="1"/>
        <rFont val="Arial"/>
        <family val="2"/>
      </rPr>
      <t>xx</t>
    </r>
  </si>
  <si>
    <t>S-Wert-Bereich</t>
  </si>
  <si>
    <t>13 - 30</t>
  </si>
  <si>
    <t>41 - 64</t>
  </si>
  <si>
    <t>61 - 79</t>
  </si>
  <si>
    <t>-</t>
  </si>
  <si>
    <t>Einh</t>
  </si>
  <si>
    <r>
      <t>G</t>
    </r>
    <r>
      <rPr>
        <vertAlign val="subscript"/>
        <sz val="9"/>
        <color theme="1"/>
        <rFont val="Calibri"/>
        <family val="2"/>
        <scheme val="minor"/>
      </rPr>
      <t>A</t>
    </r>
    <r>
      <rPr>
        <sz val="9"/>
        <color theme="1"/>
        <rFont val="Calibri"/>
        <family val="2"/>
        <scheme val="minor"/>
      </rPr>
      <t xml:space="preserve"> 85</t>
    </r>
  </si>
  <si>
    <t>Kat.</t>
  </si>
  <si>
    <t>f 3</t>
  </si>
  <si>
    <t>f 5</t>
  </si>
  <si>
    <t>f 7</t>
  </si>
  <si>
    <t>f 9</t>
  </si>
  <si>
    <t>f 12</t>
  </si>
  <si>
    <t>C 90/3</t>
  </si>
  <si>
    <t>C 50/10</t>
  </si>
  <si>
    <t>C 50/30</t>
  </si>
  <si>
    <t>C NR/50</t>
  </si>
  <si>
    <t>C NR/70</t>
  </si>
  <si>
    <r>
      <t xml:space="preserve">FI </t>
    </r>
    <r>
      <rPr>
        <vertAlign val="subscript"/>
        <sz val="9"/>
        <color theme="1"/>
        <rFont val="Calibri"/>
        <family val="2"/>
        <scheme val="minor"/>
      </rPr>
      <t>20</t>
    </r>
  </si>
  <si>
    <r>
      <t xml:space="preserve">FI </t>
    </r>
    <r>
      <rPr>
        <vertAlign val="subscript"/>
        <sz val="9"/>
        <color theme="1"/>
        <rFont val="Calibri"/>
        <family val="2"/>
        <scheme val="minor"/>
      </rPr>
      <t>35</t>
    </r>
  </si>
  <si>
    <t>LA 20</t>
  </si>
  <si>
    <t>LA 25</t>
  </si>
  <si>
    <t>LA 30</t>
  </si>
  <si>
    <t>LA 35</t>
  </si>
  <si>
    <t>LA 40</t>
  </si>
  <si>
    <t>Bezeichnung des Gemischs</t>
  </si>
  <si>
    <t>UF 12</t>
  </si>
  <si>
    <t>OC 85</t>
  </si>
  <si>
    <t>Analysensiebe</t>
  </si>
  <si>
    <t>Klassifizierung der Bestandteile</t>
  </si>
  <si>
    <t>Kiesgemisch 0/45</t>
  </si>
  <si>
    <t>RC-Kiesgemisch B 0/45</t>
  </si>
  <si>
    <t>Plattigkeitskennzahl</t>
  </si>
  <si>
    <t>EN 13242 Anh.A, Zi a</t>
  </si>
  <si>
    <t>EN 13242 Anh.A, Zi d</t>
  </si>
  <si>
    <t>kein Verdacht</t>
  </si>
  <si>
    <t>SS 0.2</t>
  </si>
  <si>
    <t>SS 0.7</t>
  </si>
  <si>
    <t>SS 1.3</t>
  </si>
  <si>
    <t>keine sichtbaren</t>
  </si>
  <si>
    <t>[-]</t>
  </si>
  <si>
    <r>
      <t>[kg/m</t>
    </r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>]</t>
    </r>
  </si>
  <si>
    <t>[M-%]</t>
  </si>
  <si>
    <t>Firmen-Logo</t>
  </si>
  <si>
    <t>Soll</t>
  </si>
  <si>
    <t>Ist</t>
  </si>
  <si>
    <t>75 - 99</t>
  </si>
  <si>
    <t># 63</t>
  </si>
  <si>
    <t># 45</t>
  </si>
  <si>
    <t># 22.4</t>
  </si>
  <si>
    <t># 11.2</t>
  </si>
  <si>
    <t># 5.6</t>
  </si>
  <si>
    <t># 2</t>
  </si>
  <si>
    <t># 1</t>
  </si>
  <si>
    <t># 0.5</t>
  </si>
  <si>
    <t># 0.063</t>
  </si>
  <si>
    <t>typische Kornverteilung</t>
  </si>
  <si>
    <t># 90</t>
  </si>
  <si>
    <t>Grösstkorn (Kanton Zürich: 1.4D = 63mm)</t>
  </si>
  <si>
    <t>C xx/xx</t>
  </si>
  <si>
    <r>
      <t>CBR-Wert (CBR</t>
    </r>
    <r>
      <rPr>
        <vertAlign val="sub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>)</t>
    </r>
  </si>
  <si>
    <r>
      <t>CBR</t>
    </r>
    <r>
      <rPr>
        <vertAlign val="subscript"/>
        <sz val="9"/>
        <color theme="1"/>
        <rFont val="Calibri"/>
        <family val="2"/>
        <scheme val="minor"/>
      </rPr>
      <t>2</t>
    </r>
    <r>
      <rPr>
        <sz val="9"/>
        <color theme="1"/>
        <rFont val="Calibri"/>
        <family val="2"/>
        <scheme val="minor"/>
      </rPr>
      <t xml:space="preserve"> (Tragfähigkeit)</t>
    </r>
  </si>
  <si>
    <r>
      <t>CBR</t>
    </r>
    <r>
      <rPr>
        <vertAlign val="subscript"/>
        <sz val="9"/>
        <color theme="1"/>
        <rFont val="Calibri"/>
        <family val="2"/>
        <scheme val="minor"/>
      </rPr>
      <t>F</t>
    </r>
  </si>
  <si>
    <r>
      <t>CBR</t>
    </r>
    <r>
      <rPr>
        <vertAlign val="sub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/CBR ≥ 0.5</t>
    </r>
  </si>
  <si>
    <r>
      <t>CBR</t>
    </r>
    <r>
      <rPr>
        <vertAlign val="subscript"/>
        <sz val="8"/>
        <color theme="1"/>
        <rFont val="Arial"/>
        <family val="2"/>
      </rPr>
      <t>F</t>
    </r>
    <r>
      <rPr>
        <sz val="8"/>
        <color theme="1"/>
        <rFont val="Arial"/>
        <family val="2"/>
      </rPr>
      <t>/CBR ≥ 0.5</t>
    </r>
  </si>
  <si>
    <t>Optimaler Wassergehalt w opt</t>
  </si>
  <si>
    <t># 0.25</t>
  </si>
  <si>
    <t>[%]</t>
  </si>
  <si>
    <t xml:space="preserve">Tragfähigkeit: </t>
  </si>
  <si>
    <t xml:space="preserve">Wasserbeständigkeit: </t>
  </si>
  <si>
    <t xml:space="preserve">Frostbeständigkeit: </t>
  </si>
  <si>
    <t>≤ 4</t>
  </si>
  <si>
    <t>≤ 1</t>
  </si>
  <si>
    <t>≤ 30</t>
  </si>
  <si>
    <t>≤ 0.3</t>
  </si>
  <si>
    <t>≤ 5</t>
  </si>
  <si>
    <t>≥ 70</t>
  </si>
  <si>
    <t>≤ 2</t>
  </si>
  <si>
    <t>Index</t>
  </si>
  <si>
    <t>mtrans</t>
  </si>
  <si>
    <t>Entscheidung</t>
  </si>
  <si>
    <t>Anzahl</t>
  </si>
  <si>
    <t>Harmonisierte Norm</t>
  </si>
  <si>
    <t>Verwendungszweck</t>
  </si>
  <si>
    <t>System</t>
  </si>
  <si>
    <t>Allgemeine Angaben</t>
  </si>
  <si>
    <t>Zertifizierung</t>
  </si>
  <si>
    <t>SCERT</t>
  </si>
  <si>
    <t>Name:</t>
  </si>
  <si>
    <t>System 2+  (SN 670 119-NA:2011)</t>
  </si>
  <si>
    <t>NB 2115 (SÜGB)</t>
  </si>
  <si>
    <t>NB 2116 (S-CERT)</t>
  </si>
  <si>
    <t>NB notified body</t>
  </si>
  <si>
    <t>Gesteinskörnungen für ungebundene Gemische für Ingenieur- und Strassenbau</t>
  </si>
  <si>
    <t>SN 670 119 NA:2011 / EN 13242:2002+A1:2007 * / EN 13285:2011 **</t>
  </si>
  <si>
    <r>
      <t>[cm</t>
    </r>
    <r>
      <rPr>
        <vertAlign val="superscript"/>
        <sz val="6"/>
        <color theme="1"/>
        <rFont val="Arial"/>
        <family val="2"/>
      </rPr>
      <t>3</t>
    </r>
    <r>
      <rPr>
        <sz val="6"/>
        <color theme="1"/>
        <rFont val="Arial"/>
        <family val="2"/>
      </rPr>
      <t>/kg]</t>
    </r>
  </si>
  <si>
    <t>SÜGB</t>
  </si>
  <si>
    <t>Jahr auswählen</t>
  </si>
  <si>
    <t>Jahr des Qualitätsdatenblatt</t>
  </si>
  <si>
    <t>Hersteller:</t>
  </si>
  <si>
    <t>Benzo(a)pyren</t>
  </si>
  <si>
    <t>Summe PAK</t>
  </si>
  <si>
    <t>Schadstoffe VVEA</t>
  </si>
  <si>
    <t>Ermittelt an Trockensubstanz des Gemischs</t>
  </si>
  <si>
    <t>Anforderungen erfüllt:</t>
  </si>
  <si>
    <t>Produkt auswählen</t>
  </si>
  <si>
    <t>MDV+ - Bereich</t>
  </si>
  <si>
    <t>18 - 36</t>
  </si>
  <si>
    <t>27 - 49</t>
  </si>
  <si>
    <t>MDV+ - Bereich unten</t>
  </si>
  <si>
    <t>MDV+ - Bereich oben</t>
  </si>
  <si>
    <t>VSS 70 119:2021-10</t>
  </si>
  <si>
    <t xml:space="preserve">VSS 70 119:2021-10 </t>
  </si>
  <si>
    <r>
      <t>CBR</t>
    </r>
    <r>
      <rPr>
        <vertAlign val="sub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oder CBR</t>
    </r>
    <r>
      <rPr>
        <vertAlign val="sub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</t>
    </r>
  </si>
  <si>
    <t>Soll-Wert Norm</t>
  </si>
  <si>
    <t>≥ 65</t>
  </si>
  <si>
    <r>
      <t>CBR</t>
    </r>
    <r>
      <rPr>
        <vertAlign val="subscript"/>
        <sz val="9"/>
        <color theme="1"/>
        <rFont val="Calibri"/>
        <family val="2"/>
        <scheme val="minor"/>
      </rPr>
      <t xml:space="preserve">1 </t>
    </r>
    <r>
      <rPr>
        <sz val="9"/>
        <color theme="1"/>
        <rFont val="Calibri"/>
        <family val="2"/>
        <scheme val="minor"/>
      </rPr>
      <t>[%]</t>
    </r>
  </si>
  <si>
    <r>
      <t>CBR</t>
    </r>
    <r>
      <rPr>
        <vertAlign val="subscript"/>
        <sz val="9"/>
        <color theme="1"/>
        <rFont val="Calibri"/>
        <family val="2"/>
        <scheme val="minor"/>
      </rPr>
      <t xml:space="preserve">2 </t>
    </r>
    <r>
      <rPr>
        <sz val="9"/>
        <color theme="1"/>
        <rFont val="Calibri"/>
        <family val="2"/>
        <scheme val="minor"/>
      </rPr>
      <t>[%]</t>
    </r>
  </si>
  <si>
    <r>
      <t>CBR</t>
    </r>
    <r>
      <rPr>
        <vertAlign val="subscript"/>
        <sz val="9"/>
        <color theme="1"/>
        <rFont val="Calibri"/>
        <family val="2"/>
        <scheme val="minor"/>
      </rPr>
      <t xml:space="preserve">F </t>
    </r>
    <r>
      <rPr>
        <sz val="9"/>
        <color theme="1"/>
        <rFont val="Calibri"/>
        <family val="2"/>
        <scheme val="minor"/>
      </rPr>
      <t>[%]</t>
    </r>
  </si>
  <si>
    <t>Soll Kt ZH</t>
  </si>
  <si>
    <t>Ungebundene Gemische für Fundationsschichten 
VSS 70 119:2021-10 / SN EN 13285:2021-10</t>
  </si>
  <si>
    <t># 31.5</t>
  </si>
  <si>
    <t># 16</t>
  </si>
  <si>
    <t># 8</t>
  </si>
  <si>
    <t># 4</t>
  </si>
  <si>
    <t>24 - 45</t>
  </si>
  <si>
    <r>
      <rPr>
        <b/>
        <i/>
        <sz val="8"/>
        <color theme="1"/>
        <rFont val="Arial"/>
        <family val="2"/>
      </rPr>
      <t>OC</t>
    </r>
    <r>
      <rPr>
        <b/>
        <vertAlign val="subscript"/>
        <sz val="8"/>
        <color theme="1"/>
        <rFont val="Arial"/>
        <family val="2"/>
      </rPr>
      <t>85</t>
    </r>
  </si>
  <si>
    <t>Kiesgemisch zusammengesetzt</t>
  </si>
  <si>
    <t>Sollwert (max)</t>
  </si>
  <si>
    <t>Verunreinigungen (Kiesgemisch)</t>
  </si>
  <si>
    <t>Wasserlöslische Sulfate (RC-Kiesgemisch B)</t>
  </si>
  <si>
    <t>Durchlässigkeit k-Wert</t>
  </si>
  <si>
    <t>≥ 0.5</t>
  </si>
  <si>
    <t>Trockendichte rd max</t>
  </si>
  <si>
    <r>
      <t>[m/s</t>
    </r>
    <r>
      <rPr>
        <sz val="8"/>
        <color theme="1"/>
        <rFont val="Arial"/>
        <family val="2"/>
      </rPr>
      <t>]</t>
    </r>
  </si>
  <si>
    <t>Qualität der Feinanteile (für Kiesgemisch &gt;5 M-%, RC-B &gt;3 M-%)</t>
  </si>
  <si>
    <t>Weitere Eigenschaften und Anforderungen an ungebundene Gemische</t>
  </si>
  <si>
    <t>VVEA</t>
  </si>
  <si>
    <t>Anh.3 Zi1</t>
  </si>
  <si>
    <t>Anh.3 Zi2</t>
  </si>
  <si>
    <t>Soll (max)</t>
  </si>
  <si>
    <t>Nicht erforderlich für primäre Kiesgemische (aus Kiesgrube, eine Provenienz)</t>
  </si>
  <si>
    <t>Unterschrift:</t>
  </si>
  <si>
    <t>Firma:</t>
  </si>
  <si>
    <t>(Hersteller / Bevollmächtigter)</t>
  </si>
  <si>
    <t>Feinanteil ≤ 3 M-%</t>
  </si>
  <si>
    <t>Feinanteil ≤ 5 M-%</t>
  </si>
  <si>
    <t>Produkt</t>
  </si>
  <si>
    <t>Kiesgemisch primär</t>
  </si>
  <si>
    <t>Anforderung VVEA</t>
  </si>
  <si>
    <t>Prüfung nicht erforderlich</t>
  </si>
  <si>
    <t>[mg/kg]</t>
  </si>
  <si>
    <t>Kiesgemisch</t>
  </si>
  <si>
    <t>≤ 0</t>
  </si>
  <si>
    <t>Stoffliche Zusammensetzung (Klassifizierung der Bestandteile) VSS 70 119:2021-10, Tab. 1</t>
  </si>
  <si>
    <t>&gt; 1.3 %</t>
  </si>
  <si>
    <t>Industriell hergestellte Gesteinskörnungen (wie z.B. Schlacken) sind NICHT zugelassen</t>
  </si>
  <si>
    <t>Qualitätsdatenblatt 2024</t>
  </si>
  <si>
    <t>Art der Produktion:</t>
  </si>
  <si>
    <t>Bemerkungen</t>
  </si>
  <si>
    <t>01.08.1291</t>
  </si>
  <si>
    <t>Produktionsart</t>
  </si>
  <si>
    <t>Provenienzen</t>
  </si>
  <si>
    <t>Mischen mit Pneulader</t>
  </si>
  <si>
    <t>Lieferwerk / Ort der Produktion:</t>
  </si>
  <si>
    <t>Dosieranlage</t>
  </si>
  <si>
    <t>nur Abrosten</t>
  </si>
  <si>
    <t>direkte Produktion über Brecher</t>
  </si>
  <si>
    <t>Kieswerk x..y</t>
  </si>
  <si>
    <t>Kiesgrube x..y</t>
  </si>
  <si>
    <t>Komponenten aus Kieswerk x..y</t>
  </si>
  <si>
    <t>Abbaustellen x..y + y..z</t>
  </si>
  <si>
    <t>Herkunft Ausgangsmaterial:</t>
  </si>
  <si>
    <t>Notifizierte Zertifizierungstelle:</t>
  </si>
  <si>
    <t>RC-Center Campocologno</t>
  </si>
  <si>
    <t>div. Aushübe + Betongranulat</t>
  </si>
  <si>
    <t>div. Aushübe + Betonabbruch</t>
  </si>
  <si>
    <t>Baustoff GmbH, 3333 Kiesingen</t>
  </si>
  <si>
    <t>Prüfung nur bei Verdacht</t>
  </si>
  <si>
    <t>Prüfung immer erforderlich</t>
  </si>
  <si>
    <t>z.B. "Aushübe aus Puschlav"</t>
  </si>
  <si>
    <t>z.B. "Brecher: Schiacciare GmbH"</t>
  </si>
  <si>
    <t>Schadstoffbelastung Kiesgemisch zusammengesetzt (nur bei Verdacht) VVEA Anh. 3 Zi 1 und RC-Kiesgemisch B VVEA Anh. 3 Zi 2</t>
  </si>
  <si>
    <t>z.B. "Aussenstelle Tirano"</t>
  </si>
  <si>
    <t>Ermittelt gemäss SN EN 933-11:2011-02</t>
  </si>
  <si>
    <t>Qualitätsdatenblatt 2025</t>
  </si>
  <si>
    <t>10 - 25</t>
  </si>
  <si>
    <t>Korngrössenverteilung VSS 70 119:2021-10, allgemeiner Bereich und MDV+ - Bereich Kt ZH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</si>
</sst>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0.0_)"/>
    <numFmt numFmtId="165" formatCode="0.0"/>
    <numFmt numFmtId="166" formatCode="0_)"/>
    <numFmt numFmtId="167" formatCode="General\ \ "/>
    <numFmt numFmtId="168" formatCode="0.0&quot;%&quot;"/>
    <numFmt numFmtId="169" formatCode="0.0\ &quot;ccm/kg&quot;"/>
    <numFmt numFmtId="170" formatCode="0.000"/>
    <numFmt numFmtId="171" formatCode="\≤\ 0"/>
    <numFmt numFmtId="172" formatCode="0.0E+00"/>
  </numFmts>
  <fonts count="4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b/>
      <u/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8"/>
      <name val="Helv"/>
    </font>
    <font>
      <b/>
      <sz val="7"/>
      <name val="Arial"/>
      <family val="2"/>
    </font>
    <font>
      <sz val="6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i/>
      <sz val="8"/>
      <name val="Arial"/>
      <family val="2"/>
    </font>
    <font>
      <vertAlign val="subscript"/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bscript"/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7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6"/>
      <color theme="1"/>
      <name val="Arial"/>
      <family val="2"/>
    </font>
    <font>
      <vertAlign val="superscript"/>
      <sz val="6"/>
      <color theme="1"/>
      <name val="Arial"/>
      <family val="2"/>
    </font>
    <font>
      <sz val="8"/>
      <color theme="6" tint="0.59999389629810485"/>
      <name val="Arial"/>
      <family val="2"/>
    </font>
    <font>
      <b/>
      <vertAlign val="subscript"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rgb="FF000000"/>
      <name val="Tahoma"/>
      <family val="2"/>
    </font>
    <font>
      <b/>
      <sz val="10"/>
      <color theme="1"/>
      <name val="Arial Black"/>
      <family val="2"/>
    </font>
    <font>
      <b/>
      <sz val="12"/>
      <color theme="1"/>
      <name val="Arial Black"/>
      <family val="2"/>
    </font>
    <font>
      <sz val="7.5"/>
      <color theme="1"/>
      <name val="Arial"/>
      <family val="2"/>
    </font>
    <font>
      <b/>
      <sz val="9"/>
      <color indexed="81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</borders>
  <cellStyleXfs count="5">
    <xf numFmtId="0" fontId="0" fillId="0" borderId="0"/>
    <xf numFmtId="0" fontId="3" fillId="0" borderId="0"/>
    <xf numFmtId="0" fontId="16" fillId="0" borderId="0"/>
    <xf numFmtId="9" fontId="4" fillId="0" borderId="0" applyFont="0" applyFill="0" applyBorder="0" applyAlignment="0" applyProtection="0"/>
    <xf numFmtId="0" fontId="4" fillId="0" borderId="0"/>
  </cellStyleXfs>
  <cellXfs count="201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4" fillId="0" borderId="0" xfId="1" applyFont="1"/>
    <xf numFmtId="0" fontId="5" fillId="0" borderId="0" xfId="1" applyFont="1"/>
    <xf numFmtId="0" fontId="6" fillId="0" borderId="0" xfId="1" applyFont="1" applyAlignment="1">
      <alignment vertical="center" wrapText="1"/>
    </xf>
    <xf numFmtId="0" fontId="6" fillId="0" borderId="0" xfId="1" applyFont="1" applyAlignment="1">
      <alignment vertical="center"/>
    </xf>
    <xf numFmtId="0" fontId="3" fillId="0" borderId="0" xfId="1"/>
    <xf numFmtId="0" fontId="7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3" fillId="0" borderId="0" xfId="1" applyAlignment="1">
      <alignment vertical="center"/>
    </xf>
    <xf numFmtId="0" fontId="8" fillId="0" borderId="0" xfId="1" applyFont="1" applyAlignment="1">
      <alignment horizontal="right" vertical="center"/>
    </xf>
    <xf numFmtId="0" fontId="9" fillId="0" borderId="0" xfId="1" applyFont="1"/>
    <xf numFmtId="164" fontId="10" fillId="0" borderId="0" xfId="1" applyNumberFormat="1" applyFont="1"/>
    <xf numFmtId="0" fontId="10" fillId="0" borderId="0" xfId="1" applyFont="1" applyAlignment="1">
      <alignment horizontal="right"/>
    </xf>
    <xf numFmtId="0" fontId="11" fillId="0" borderId="0" xfId="1" applyFont="1"/>
    <xf numFmtId="0" fontId="6" fillId="0" borderId="0" xfId="1" applyFont="1"/>
    <xf numFmtId="0" fontId="12" fillId="0" borderId="1" xfId="1" applyFont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164" fontId="11" fillId="0" borderId="0" xfId="1" applyNumberFormat="1" applyFont="1"/>
    <xf numFmtId="0" fontId="13" fillId="0" borderId="0" xfId="1" applyFont="1" applyAlignment="1">
      <alignment horizontal="center"/>
    </xf>
    <xf numFmtId="0" fontId="13" fillId="0" borderId="1" xfId="1" applyFont="1" applyBorder="1" applyAlignment="1">
      <alignment horizontal="center"/>
    </xf>
    <xf numFmtId="165" fontId="13" fillId="1" borderId="1" xfId="1" applyNumberFormat="1" applyFont="1" applyFill="1" applyBorder="1" applyAlignment="1">
      <alignment horizontal="center"/>
    </xf>
    <xf numFmtId="164" fontId="11" fillId="0" borderId="0" xfId="1" applyNumberFormat="1" applyFont="1" applyAlignment="1">
      <alignment horizontal="center"/>
    </xf>
    <xf numFmtId="164" fontId="11" fillId="0" borderId="1" xfId="1" applyNumberFormat="1" applyFont="1" applyBorder="1" applyAlignment="1">
      <alignment horizontal="center"/>
    </xf>
    <xf numFmtId="164" fontId="14" fillId="0" borderId="1" xfId="1" applyNumberFormat="1" applyFont="1" applyBorder="1" applyAlignment="1">
      <alignment horizontal="center"/>
    </xf>
    <xf numFmtId="164" fontId="14" fillId="0" borderId="2" xfId="1" applyNumberFormat="1" applyFont="1" applyBorder="1" applyAlignment="1">
      <alignment horizontal="center"/>
    </xf>
    <xf numFmtId="164" fontId="14" fillId="0" borderId="0" xfId="1" applyNumberFormat="1" applyFont="1" applyAlignment="1">
      <alignment horizontal="center"/>
    </xf>
    <xf numFmtId="1" fontId="12" fillId="0" borderId="1" xfId="1" applyNumberFormat="1" applyFont="1" applyBorder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left"/>
    </xf>
    <xf numFmtId="0" fontId="11" fillId="0" borderId="0" xfId="1" applyFont="1" applyAlignment="1">
      <alignment horizontal="right"/>
    </xf>
    <xf numFmtId="0" fontId="11" fillId="0" borderId="0" xfId="1" applyFont="1" applyAlignment="1">
      <alignment horizontal="center"/>
    </xf>
    <xf numFmtId="0" fontId="15" fillId="0" borderId="0" xfId="1" applyFont="1" applyAlignment="1">
      <alignment horizontal="center"/>
    </xf>
    <xf numFmtId="1" fontId="11" fillId="0" borderId="0" xfId="1" applyNumberFormat="1" applyFont="1" applyAlignment="1">
      <alignment horizontal="center"/>
    </xf>
    <xf numFmtId="166" fontId="11" fillId="0" borderId="1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" fontId="11" fillId="0" borderId="0" xfId="1" applyNumberFormat="1" applyFont="1"/>
    <xf numFmtId="167" fontId="8" fillId="0" borderId="6" xfId="2" applyNumberFormat="1" applyFont="1" applyBorder="1" applyAlignment="1">
      <alignment horizontal="center" vertical="center"/>
    </xf>
    <xf numFmtId="1" fontId="12" fillId="0" borderId="0" xfId="1" applyNumberFormat="1" applyFont="1" applyAlignment="1">
      <alignment horizontal="center"/>
    </xf>
    <xf numFmtId="165" fontId="8" fillId="0" borderId="5" xfId="2" applyNumberFormat="1" applyFont="1" applyBorder="1" applyAlignment="1">
      <alignment horizontal="center" vertical="center"/>
    </xf>
    <xf numFmtId="0" fontId="12" fillId="0" borderId="0" xfId="1" applyFont="1" applyAlignment="1">
      <alignment horizontal="center"/>
    </xf>
    <xf numFmtId="165" fontId="12" fillId="0" borderId="0" xfId="1" applyNumberFormat="1" applyFont="1" applyAlignment="1">
      <alignment horizontal="center"/>
    </xf>
    <xf numFmtId="0" fontId="16" fillId="0" borderId="0" xfId="2"/>
    <xf numFmtId="0" fontId="17" fillId="0" borderId="0" xfId="2" applyFont="1"/>
    <xf numFmtId="0" fontId="3" fillId="0" borderId="0" xfId="2" applyFont="1"/>
    <xf numFmtId="0" fontId="16" fillId="0" borderId="0" xfId="2" applyAlignment="1">
      <alignment horizontal="left"/>
    </xf>
    <xf numFmtId="168" fontId="16" fillId="0" borderId="0" xfId="2" applyNumberFormat="1"/>
    <xf numFmtId="169" fontId="16" fillId="0" borderId="0" xfId="2" applyNumberFormat="1"/>
    <xf numFmtId="0" fontId="1" fillId="0" borderId="0" xfId="0" applyFont="1" applyAlignment="1">
      <alignment horizontal="left" indent="1"/>
    </xf>
    <xf numFmtId="0" fontId="1" fillId="0" borderId="0" xfId="0" applyFont="1" applyAlignment="1">
      <alignment horizontal="left" indent="18"/>
    </xf>
    <xf numFmtId="0" fontId="1" fillId="0" borderId="0" xfId="0" quotePrefix="1" applyFont="1"/>
    <xf numFmtId="170" fontId="6" fillId="0" borderId="0" xfId="1" applyNumberFormat="1" applyFont="1" applyAlignment="1">
      <alignment horizontal="center" vertical="center"/>
    </xf>
    <xf numFmtId="165" fontId="6" fillId="0" borderId="0" xfId="1" applyNumberFormat="1" applyFont="1" applyAlignment="1">
      <alignment horizontal="center" vertical="center"/>
    </xf>
    <xf numFmtId="1" fontId="6" fillId="0" borderId="0" xfId="1" applyNumberFormat="1" applyFont="1" applyAlignment="1">
      <alignment horizontal="center" vertical="center"/>
    </xf>
    <xf numFmtId="0" fontId="10" fillId="0" borderId="0" xfId="1" applyFont="1" applyAlignment="1">
      <alignment horizontal="left"/>
    </xf>
    <xf numFmtId="0" fontId="10" fillId="0" borderId="0" xfId="1" applyFont="1" applyAlignment="1">
      <alignment horizontal="center"/>
    </xf>
    <xf numFmtId="1" fontId="6" fillId="0" borderId="0" xfId="1" applyNumberFormat="1" applyFont="1" applyAlignment="1">
      <alignment horizontal="center"/>
    </xf>
    <xf numFmtId="1" fontId="6" fillId="0" borderId="0" xfId="1" applyNumberFormat="1" applyFont="1"/>
    <xf numFmtId="165" fontId="10" fillId="0" borderId="5" xfId="2" applyNumberFormat="1" applyFont="1" applyBorder="1" applyAlignment="1">
      <alignment horizontal="center" vertical="center"/>
    </xf>
    <xf numFmtId="0" fontId="18" fillId="0" borderId="0" xfId="2" applyFont="1"/>
    <xf numFmtId="168" fontId="6" fillId="0" borderId="0" xfId="2" applyNumberFormat="1" applyFont="1"/>
    <xf numFmtId="0" fontId="6" fillId="0" borderId="0" xfId="2" applyFont="1"/>
    <xf numFmtId="0" fontId="22" fillId="0" borderId="0" xfId="0" applyFont="1"/>
    <xf numFmtId="0" fontId="24" fillId="0" borderId="0" xfId="0" applyFont="1"/>
    <xf numFmtId="0" fontId="24" fillId="0" borderId="0" xfId="0" applyFont="1" applyAlignment="1">
      <alignment horizontal="left"/>
    </xf>
    <xf numFmtId="0" fontId="27" fillId="0" borderId="0" xfId="0" quotePrefix="1" applyFont="1"/>
    <xf numFmtId="0" fontId="28" fillId="0" borderId="0" xfId="0" applyFont="1"/>
    <xf numFmtId="0" fontId="1" fillId="0" borderId="0" xfId="0" applyFont="1" applyAlignment="1">
      <alignment horizontal="left"/>
    </xf>
    <xf numFmtId="165" fontId="1" fillId="0" borderId="0" xfId="0" applyNumberFormat="1" applyFont="1" applyAlignment="1">
      <alignment horizontal="left"/>
    </xf>
    <xf numFmtId="165" fontId="13" fillId="0" borderId="1" xfId="1" applyNumberFormat="1" applyFont="1" applyBorder="1" applyAlignment="1">
      <alignment horizontal="center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21" fillId="0" borderId="10" xfId="0" applyFont="1" applyBorder="1" applyAlignment="1">
      <alignment vertical="center"/>
    </xf>
    <xf numFmtId="0" fontId="24" fillId="0" borderId="10" xfId="0" applyFont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24" fillId="0" borderId="8" xfId="0" applyFont="1" applyBorder="1" applyAlignment="1">
      <alignment vertical="center"/>
    </xf>
    <xf numFmtId="0" fontId="24" fillId="0" borderId="7" xfId="0" applyFont="1" applyBorder="1" applyAlignment="1">
      <alignment vertical="center"/>
    </xf>
    <xf numFmtId="0" fontId="27" fillId="0" borderId="7" xfId="0" applyFont="1" applyBorder="1" applyAlignment="1">
      <alignment vertical="center"/>
    </xf>
    <xf numFmtId="0" fontId="21" fillId="0" borderId="7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4" fillId="0" borderId="0" xfId="0" applyFont="1" applyAlignment="1">
      <alignment horizontal="left" vertical="center"/>
    </xf>
    <xf numFmtId="0" fontId="27" fillId="0" borderId="7" xfId="0" quotePrefix="1" applyFont="1" applyBorder="1" applyAlignment="1">
      <alignment vertical="center"/>
    </xf>
    <xf numFmtId="0" fontId="24" fillId="0" borderId="9" xfId="0" applyFont="1" applyBorder="1" applyAlignment="1">
      <alignment vertical="center"/>
    </xf>
    <xf numFmtId="0" fontId="27" fillId="0" borderId="9" xfId="0" applyFont="1" applyBorder="1" applyAlignment="1">
      <alignment vertical="center"/>
    </xf>
    <xf numFmtId="0" fontId="21" fillId="0" borderId="9" xfId="0" applyFont="1" applyBorder="1" applyAlignment="1">
      <alignment vertical="center"/>
    </xf>
    <xf numFmtId="0" fontId="24" fillId="0" borderId="7" xfId="0" applyFont="1" applyBorder="1" applyAlignment="1">
      <alignment horizontal="right" vertical="center"/>
    </xf>
    <xf numFmtId="0" fontId="23" fillId="3" borderId="10" xfId="0" applyFont="1" applyFill="1" applyBorder="1" applyAlignment="1">
      <alignment vertical="center"/>
    </xf>
    <xf numFmtId="0" fontId="24" fillId="3" borderId="10" xfId="0" applyFont="1" applyFill="1" applyBorder="1" applyAlignment="1">
      <alignment vertical="center"/>
    </xf>
    <xf numFmtId="0" fontId="21" fillId="3" borderId="10" xfId="0" applyFont="1" applyFill="1" applyBorder="1" applyAlignment="1">
      <alignment vertical="center"/>
    </xf>
    <xf numFmtId="0" fontId="24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" fillId="0" borderId="0" xfId="0" applyFont="1" applyAlignment="1">
      <alignment horizontal="right"/>
    </xf>
    <xf numFmtId="0" fontId="24" fillId="0" borderId="1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1" fillId="0" borderId="1" xfId="0" applyFont="1" applyBorder="1"/>
    <xf numFmtId="0" fontId="1" fillId="0" borderId="12" xfId="0" applyFont="1" applyBorder="1" applyAlignment="1">
      <alignment wrapText="1"/>
    </xf>
    <xf numFmtId="0" fontId="1" fillId="0" borderId="13" xfId="0" applyFont="1" applyBorder="1"/>
    <xf numFmtId="0" fontId="1" fillId="0" borderId="14" xfId="0" applyFont="1" applyBorder="1"/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wrapText="1"/>
    </xf>
    <xf numFmtId="0" fontId="23" fillId="3" borderId="0" xfId="0" applyFont="1" applyFill="1" applyAlignment="1">
      <alignment vertical="center"/>
    </xf>
    <xf numFmtId="0" fontId="24" fillId="3" borderId="0" xfId="0" applyFont="1" applyFill="1" applyAlignment="1">
      <alignment vertical="center"/>
    </xf>
    <xf numFmtId="0" fontId="24" fillId="0" borderId="0" xfId="0" quotePrefix="1" applyFont="1" applyAlignment="1">
      <alignment horizontal="center" vertical="center"/>
    </xf>
    <xf numFmtId="171" fontId="24" fillId="0" borderId="0" xfId="0" applyNumberFormat="1" applyFont="1" applyAlignment="1">
      <alignment horizontal="center" vertical="center"/>
    </xf>
    <xf numFmtId="165" fontId="24" fillId="0" borderId="7" xfId="0" applyNumberFormat="1" applyFont="1" applyBorder="1" applyAlignment="1">
      <alignment horizontal="center" vertical="center"/>
    </xf>
    <xf numFmtId="1" fontId="24" fillId="0" borderId="7" xfId="0" applyNumberFormat="1" applyFont="1" applyBorder="1" applyAlignment="1">
      <alignment horizontal="center" vertical="center"/>
    </xf>
    <xf numFmtId="0" fontId="21" fillId="3" borderId="0" xfId="0" applyFont="1" applyFill="1" applyAlignment="1">
      <alignment horizontal="left" vertical="center"/>
    </xf>
    <xf numFmtId="0" fontId="32" fillId="0" borderId="15" xfId="0" applyFont="1" applyBorder="1" applyAlignment="1">
      <alignment vertical="center"/>
    </xf>
    <xf numFmtId="0" fontId="32" fillId="0" borderId="0" xfId="0" applyFont="1" applyAlignment="1">
      <alignment vertical="center"/>
    </xf>
    <xf numFmtId="0" fontId="0" fillId="0" borderId="15" xfId="0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23" fillId="0" borderId="10" xfId="0" applyFont="1" applyBorder="1" applyAlignment="1">
      <alignment vertical="center" wrapText="1"/>
    </xf>
    <xf numFmtId="0" fontId="24" fillId="0" borderId="10" xfId="0" applyFont="1" applyBorder="1" applyAlignment="1">
      <alignment horizontal="left" vertical="center"/>
    </xf>
    <xf numFmtId="0" fontId="24" fillId="0" borderId="7" xfId="0" applyFont="1" applyBorder="1" applyAlignment="1">
      <alignment horizontal="left" vertical="center"/>
    </xf>
    <xf numFmtId="0" fontId="24" fillId="0" borderId="9" xfId="0" applyFont="1" applyBorder="1" applyAlignment="1">
      <alignment horizontal="left" vertical="center"/>
    </xf>
    <xf numFmtId="49" fontId="23" fillId="0" borderId="0" xfId="0" applyNumberFormat="1" applyFont="1" applyAlignment="1">
      <alignment vertical="top"/>
    </xf>
    <xf numFmtId="0" fontId="27" fillId="3" borderId="0" xfId="0" applyFont="1" applyFill="1" applyAlignment="1">
      <alignment vertical="center"/>
    </xf>
    <xf numFmtId="0" fontId="24" fillId="0" borderId="15" xfId="0" applyFont="1" applyBorder="1" applyAlignment="1">
      <alignment horizontal="right" vertical="center"/>
    </xf>
    <xf numFmtId="0" fontId="32" fillId="0" borderId="0" xfId="0" applyFont="1" applyAlignment="1">
      <alignment horizontal="left" vertical="center"/>
    </xf>
    <xf numFmtId="0" fontId="33" fillId="0" borderId="0" xfId="0" applyFont="1" applyAlignment="1">
      <alignment vertical="center"/>
    </xf>
    <xf numFmtId="0" fontId="33" fillId="0" borderId="9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23" fillId="3" borderId="0" xfId="0" applyFont="1" applyFill="1" applyAlignment="1">
      <alignment horizontal="center" vertical="center"/>
    </xf>
    <xf numFmtId="0" fontId="2" fillId="0" borderId="0" xfId="0" applyFont="1"/>
    <xf numFmtId="0" fontId="21" fillId="3" borderId="0" xfId="0" applyFont="1" applyFill="1" applyAlignment="1">
      <alignment vertical="center"/>
    </xf>
    <xf numFmtId="0" fontId="21" fillId="3" borderId="0" xfId="0" applyFont="1" applyFill="1" applyAlignment="1">
      <alignment horizontal="center" vertical="center"/>
    </xf>
    <xf numFmtId="0" fontId="27" fillId="0" borderId="10" xfId="0" applyFont="1" applyBorder="1" applyAlignment="1">
      <alignment vertical="center"/>
    </xf>
    <xf numFmtId="0" fontId="24" fillId="0" borderId="7" xfId="0" applyFont="1" applyBorder="1" applyAlignment="1">
      <alignment horizontal="center" vertical="center"/>
    </xf>
    <xf numFmtId="164" fontId="6" fillId="0" borderId="0" xfId="1" applyNumberFormat="1" applyFont="1"/>
    <xf numFmtId="0" fontId="30" fillId="0" borderId="10" xfId="0" applyFont="1" applyBorder="1" applyAlignment="1" applyProtection="1">
      <alignment vertical="center" wrapText="1"/>
      <protection locked="0"/>
    </xf>
    <xf numFmtId="0" fontId="24" fillId="0" borderId="0" xfId="0" applyFont="1" applyAlignment="1">
      <alignment horizontal="right" vertical="center"/>
    </xf>
    <xf numFmtId="0" fontId="23" fillId="0" borderId="0" xfId="0" applyFont="1" applyAlignment="1">
      <alignment horizontal="center" vertical="center"/>
    </xf>
    <xf numFmtId="0" fontId="24" fillId="0" borderId="8" xfId="0" applyFont="1" applyBorder="1" applyAlignment="1">
      <alignment horizontal="center" vertical="center"/>
    </xf>
    <xf numFmtId="0" fontId="24" fillId="0" borderId="29" xfId="0" applyFont="1" applyBorder="1" applyAlignment="1">
      <alignment vertical="center"/>
    </xf>
    <xf numFmtId="0" fontId="24" fillId="0" borderId="30" xfId="0" applyFont="1" applyBorder="1" applyAlignment="1">
      <alignment horizontal="center" vertical="center"/>
    </xf>
    <xf numFmtId="0" fontId="23" fillId="3" borderId="0" xfId="0" applyFont="1" applyFill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41" fillId="0" borderId="7" xfId="0" applyFont="1" applyBorder="1" applyAlignment="1">
      <alignment horizontal="center" vertical="center"/>
    </xf>
    <xf numFmtId="0" fontId="21" fillId="0" borderId="0" xfId="0" applyFont="1" applyAlignment="1">
      <alignment vertical="top"/>
    </xf>
    <xf numFmtId="0" fontId="35" fillId="4" borderId="0" xfId="0" applyFont="1" applyFill="1" applyAlignment="1" applyProtection="1">
      <alignment vertical="center"/>
      <protection locked="0"/>
    </xf>
    <xf numFmtId="1" fontId="24" fillId="4" borderId="0" xfId="0" applyNumberFormat="1" applyFont="1" applyFill="1" applyAlignment="1" applyProtection="1">
      <alignment horizontal="center" vertical="center"/>
      <protection locked="0"/>
    </xf>
    <xf numFmtId="165" fontId="24" fillId="4" borderId="0" xfId="0" applyNumberFormat="1" applyFont="1" applyFill="1" applyAlignment="1" applyProtection="1">
      <alignment horizontal="center" vertical="center"/>
      <protection locked="0"/>
    </xf>
    <xf numFmtId="165" fontId="24" fillId="4" borderId="7" xfId="0" applyNumberFormat="1" applyFont="1" applyFill="1" applyBorder="1" applyAlignment="1" applyProtection="1">
      <alignment horizontal="center" vertical="center"/>
      <protection locked="0"/>
    </xf>
    <xf numFmtId="165" fontId="24" fillId="4" borderId="6" xfId="0" applyNumberFormat="1" applyFont="1" applyFill="1" applyBorder="1" applyAlignment="1" applyProtection="1">
      <alignment horizontal="center" vertical="center"/>
      <protection locked="0"/>
    </xf>
    <xf numFmtId="2" fontId="24" fillId="4" borderId="6" xfId="0" applyNumberFormat="1" applyFont="1" applyFill="1" applyBorder="1" applyAlignment="1" applyProtection="1">
      <alignment horizontal="center" vertical="center"/>
      <protection locked="0"/>
    </xf>
    <xf numFmtId="1" fontId="24" fillId="4" borderId="7" xfId="0" applyNumberFormat="1" applyFont="1" applyFill="1" applyBorder="1" applyAlignment="1" applyProtection="1">
      <alignment horizontal="center" vertical="center"/>
      <protection locked="0"/>
    </xf>
    <xf numFmtId="172" fontId="24" fillId="4" borderId="7" xfId="0" applyNumberFormat="1" applyFont="1" applyFill="1" applyBorder="1" applyAlignment="1" applyProtection="1">
      <alignment horizontal="center" vertical="center"/>
      <protection locked="0"/>
    </xf>
    <xf numFmtId="0" fontId="24" fillId="4" borderId="7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vertical="center"/>
    </xf>
    <xf numFmtId="0" fontId="22" fillId="0" borderId="10" xfId="0" applyFont="1" applyBorder="1" applyAlignment="1">
      <alignment horizontal="center" vertical="center"/>
    </xf>
    <xf numFmtId="0" fontId="31" fillId="0" borderId="10" xfId="0" applyFont="1" applyBorder="1" applyAlignment="1">
      <alignment horizontal="center" vertical="center"/>
    </xf>
    <xf numFmtId="49" fontId="23" fillId="0" borderId="15" xfId="0" applyNumberFormat="1" applyFont="1" applyBorder="1" applyAlignment="1">
      <alignment horizontal="left" vertical="top"/>
    </xf>
    <xf numFmtId="0" fontId="23" fillId="0" borderId="15" xfId="0" applyFont="1" applyBorder="1" applyAlignment="1">
      <alignment horizontal="left" vertical="center"/>
    </xf>
    <xf numFmtId="0" fontId="23" fillId="0" borderId="0" xfId="0" applyFont="1" applyAlignment="1">
      <alignment horizontal="right" vertical="center"/>
    </xf>
    <xf numFmtId="9" fontId="24" fillId="0" borderId="0" xfId="0" applyNumberFormat="1" applyFont="1" applyAlignment="1">
      <alignment horizontal="center" vertical="center"/>
    </xf>
    <xf numFmtId="0" fontId="24" fillId="4" borderId="0" xfId="0" applyFont="1" applyFill="1" applyAlignment="1" applyProtection="1">
      <alignment horizontal="center" vertical="center"/>
      <protection locked="0"/>
    </xf>
    <xf numFmtId="0" fontId="22" fillId="0" borderId="0" xfId="0" applyFont="1" applyAlignment="1" applyProtection="1">
      <alignment horizontal="center" vertical="center"/>
      <protection locked="0"/>
    </xf>
    <xf numFmtId="0" fontId="39" fillId="4" borderId="0" xfId="0" applyFont="1" applyFill="1" applyAlignment="1" applyProtection="1">
      <alignment horizontal="center" vertical="center" wrapText="1"/>
      <protection locked="0"/>
    </xf>
    <xf numFmtId="0" fontId="40" fillId="4" borderId="21" xfId="0" applyFont="1" applyFill="1" applyBorder="1" applyAlignment="1" applyProtection="1">
      <alignment horizontal="center" vertical="center"/>
      <protection locked="0"/>
    </xf>
    <xf numFmtId="0" fontId="40" fillId="4" borderId="22" xfId="0" applyFont="1" applyFill="1" applyBorder="1" applyAlignment="1" applyProtection="1">
      <alignment horizontal="center" vertical="center"/>
      <protection locked="0"/>
    </xf>
    <xf numFmtId="0" fontId="40" fillId="4" borderId="23" xfId="0" applyFont="1" applyFill="1" applyBorder="1" applyAlignment="1" applyProtection="1">
      <alignment horizontal="center" vertical="center"/>
      <protection locked="0"/>
    </xf>
    <xf numFmtId="0" fontId="40" fillId="4" borderId="24" xfId="0" applyFont="1" applyFill="1" applyBorder="1" applyAlignment="1" applyProtection="1">
      <alignment horizontal="center" vertical="center"/>
      <protection locked="0"/>
    </xf>
    <xf numFmtId="0" fontId="40" fillId="4" borderId="25" xfId="0" applyFont="1" applyFill="1" applyBorder="1" applyAlignment="1" applyProtection="1">
      <alignment horizontal="center" vertical="center"/>
      <protection locked="0"/>
    </xf>
    <xf numFmtId="0" fontId="40" fillId="4" borderId="26" xfId="0" applyFont="1" applyFill="1" applyBorder="1" applyAlignment="1" applyProtection="1">
      <alignment horizontal="center" vertical="center"/>
      <protection locked="0"/>
    </xf>
    <xf numFmtId="0" fontId="39" fillId="0" borderId="10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/>
    </xf>
    <xf numFmtId="0" fontId="24" fillId="4" borderId="15" xfId="0" applyFont="1" applyFill="1" applyBorder="1" applyAlignment="1" applyProtection="1">
      <alignment horizontal="center" vertical="center"/>
      <protection locked="0"/>
    </xf>
    <xf numFmtId="0" fontId="23" fillId="0" borderId="10" xfId="0" applyFont="1" applyBorder="1" applyAlignment="1">
      <alignment horizontal="left" vertical="center" wrapText="1"/>
    </xf>
    <xf numFmtId="0" fontId="24" fillId="4" borderId="7" xfId="0" applyFont="1" applyFill="1" applyBorder="1" applyAlignment="1" applyProtection="1">
      <alignment vertical="center"/>
      <protection locked="0"/>
    </xf>
    <xf numFmtId="0" fontId="24" fillId="0" borderId="31" xfId="0" applyFont="1" applyBorder="1" applyAlignment="1">
      <alignment horizontal="center" vertical="center"/>
    </xf>
    <xf numFmtId="0" fontId="24" fillId="0" borderId="28" xfId="0" applyFont="1" applyBorder="1" applyAlignment="1">
      <alignment horizontal="center" vertical="center"/>
    </xf>
    <xf numFmtId="0" fontId="21" fillId="4" borderId="27" xfId="0" applyFont="1" applyFill="1" applyBorder="1" applyAlignment="1" applyProtection="1">
      <alignment horizontal="center" vertical="top"/>
      <protection locked="0"/>
    </xf>
    <xf numFmtId="0" fontId="21" fillId="4" borderId="15" xfId="0" applyFont="1" applyFill="1" applyBorder="1" applyAlignment="1" applyProtection="1">
      <alignment horizontal="center" vertical="top"/>
      <protection locked="0"/>
    </xf>
    <xf numFmtId="0" fontId="21" fillId="4" borderId="18" xfId="0" applyFont="1" applyFill="1" applyBorder="1" applyAlignment="1" applyProtection="1">
      <alignment horizontal="center" vertical="top"/>
      <protection locked="0"/>
    </xf>
    <xf numFmtId="0" fontId="21" fillId="4" borderId="20" xfId="0" applyFont="1" applyFill="1" applyBorder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1" fillId="4" borderId="16" xfId="0" applyFont="1" applyFill="1" applyBorder="1" applyAlignment="1" applyProtection="1">
      <alignment horizontal="center" vertical="top"/>
      <protection locked="0"/>
    </xf>
    <xf numFmtId="0" fontId="21" fillId="4" borderId="19" xfId="0" applyFont="1" applyFill="1" applyBorder="1" applyAlignment="1" applyProtection="1">
      <alignment horizontal="center" vertical="top"/>
      <protection locked="0"/>
    </xf>
    <xf numFmtId="0" fontId="21" fillId="4" borderId="10" xfId="0" applyFont="1" applyFill="1" applyBorder="1" applyAlignment="1" applyProtection="1">
      <alignment horizontal="center" vertical="top"/>
      <protection locked="0"/>
    </xf>
    <xf numFmtId="0" fontId="21" fillId="4" borderId="17" xfId="0" applyFont="1" applyFill="1" applyBorder="1" applyAlignment="1" applyProtection="1">
      <alignment horizontal="center" vertical="top"/>
      <protection locked="0"/>
    </xf>
    <xf numFmtId="14" fontId="24" fillId="4" borderId="0" xfId="0" applyNumberFormat="1" applyFont="1" applyFill="1" applyAlignment="1" applyProtection="1">
      <alignment horizontal="center" vertical="center"/>
      <protection locked="0"/>
    </xf>
    <xf numFmtId="14" fontId="21" fillId="4" borderId="0" xfId="0" applyNumberFormat="1" applyFont="1" applyFill="1" applyAlignment="1" applyProtection="1">
      <alignment horizontal="center" vertical="center"/>
      <protection locked="0"/>
    </xf>
    <xf numFmtId="14" fontId="21" fillId="4" borderId="16" xfId="0" applyNumberFormat="1" applyFont="1" applyFill="1" applyBorder="1" applyAlignment="1" applyProtection="1">
      <alignment horizontal="center" vertical="center"/>
      <protection locked="0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6" xfId="0" applyFont="1" applyFill="1" applyBorder="1" applyAlignment="1" applyProtection="1">
      <alignment horizontal="center"/>
      <protection locked="0"/>
    </xf>
    <xf numFmtId="0" fontId="24" fillId="0" borderId="8" xfId="0" applyFont="1" applyBorder="1" applyAlignment="1">
      <alignment vertical="center"/>
    </xf>
    <xf numFmtId="0" fontId="1" fillId="0" borderId="3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64" fontId="11" fillId="0" borderId="3" xfId="1" applyNumberFormat="1" applyFont="1" applyBorder="1" applyAlignment="1">
      <alignment horizontal="center"/>
    </xf>
    <xf numFmtId="0" fontId="11" fillId="0" borderId="4" xfId="1" applyFont="1" applyBorder="1" applyAlignment="1">
      <alignment horizontal="center"/>
    </xf>
    <xf numFmtId="1" fontId="11" fillId="0" borderId="3" xfId="1" applyNumberFormat="1" applyFont="1" applyBorder="1" applyAlignment="1">
      <alignment horizontal="center"/>
    </xf>
    <xf numFmtId="1" fontId="11" fillId="0" borderId="4" xfId="1" applyNumberFormat="1" applyFont="1" applyBorder="1" applyAlignment="1">
      <alignment horizontal="center"/>
    </xf>
  </cellXfs>
  <cellStyles count="5">
    <cellStyle name="Prozent 2" xfId="3" xr:uid="{00000000-0005-0000-0000-000000000000}"/>
    <cellStyle name="Standard" xfId="0" builtinId="0"/>
    <cellStyle name="Standard 2" xfId="1" xr:uid="{00000000-0005-0000-0000-000002000000}"/>
    <cellStyle name="Standard 2 2" xfId="4" xr:uid="{00000000-0005-0000-0000-000003000000}"/>
    <cellStyle name="Standard_RCKIE_1A1" xfId="2" xr:uid="{00000000-0005-0000-0000-000004000000}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9.4968912370505643E-2"/>
          <c:y val="8.8229782290427508E-2"/>
          <c:w val="0.8593154812879471"/>
          <c:h val="0.75271609085645153"/>
        </c:manualLayout>
      </c:layout>
      <c:lineChart>
        <c:grouping val="standard"/>
        <c:varyColors val="0"/>
        <c:ser>
          <c:idx val="0"/>
          <c:order val="0"/>
          <c:tx>
            <c:strRef>
              <c:f>Berechnungen!$A$12</c:f>
              <c:strCache>
                <c:ptCount val="1"/>
                <c:pt idx="0">
                  <c:v>Norm-Grenzwert oben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Berechnungen!$E$23:$Z$23</c:f>
              <c:strCache>
                <c:ptCount val="22"/>
                <c:pt idx="0">
                  <c:v>0.063</c:v>
                </c:pt>
                <c:pt idx="2">
                  <c:v>0.125</c:v>
                </c:pt>
                <c:pt idx="4">
                  <c:v>0.25</c:v>
                </c:pt>
                <c:pt idx="6">
                  <c:v>0.5</c:v>
                </c:pt>
                <c:pt idx="8">
                  <c:v>1</c:v>
                </c:pt>
                <c:pt idx="10">
                  <c:v>2</c:v>
                </c:pt>
                <c:pt idx="12">
                  <c:v>4</c:v>
                </c:pt>
                <c:pt idx="13">
                  <c:v>5.6</c:v>
                </c:pt>
                <c:pt idx="14">
                  <c:v>8</c:v>
                </c:pt>
                <c:pt idx="15">
                  <c:v>11.2</c:v>
                </c:pt>
                <c:pt idx="16">
                  <c:v>16</c:v>
                </c:pt>
                <c:pt idx="17">
                  <c:v>22.4</c:v>
                </c:pt>
                <c:pt idx="18">
                  <c:v>31.5</c:v>
                </c:pt>
                <c:pt idx="19">
                  <c:v>45</c:v>
                </c:pt>
                <c:pt idx="20">
                  <c:v>63</c:v>
                </c:pt>
                <c:pt idx="21">
                  <c:v>90</c:v>
                </c:pt>
              </c:strCache>
            </c:strRef>
          </c:cat>
          <c:val>
            <c:numRef>
              <c:f>Berechnungen!$E$12:$Z$12</c:f>
              <c:numCache>
                <c:formatCode>0.0</c:formatCode>
                <c:ptCount val="22"/>
                <c:pt idx="0" formatCode="General">
                  <c:v>12</c:v>
                </c:pt>
                <c:pt idx="1">
                  <c:v>15</c:v>
                </c:pt>
                <c:pt idx="2">
                  <c:v>18</c:v>
                </c:pt>
                <c:pt idx="3">
                  <c:v>21</c:v>
                </c:pt>
                <c:pt idx="4">
                  <c:v>24</c:v>
                </c:pt>
                <c:pt idx="5">
                  <c:v>27</c:v>
                </c:pt>
                <c:pt idx="6" formatCode="General">
                  <c:v>30</c:v>
                </c:pt>
                <c:pt idx="7">
                  <c:v>32.5</c:v>
                </c:pt>
                <c:pt idx="8" formatCode="General">
                  <c:v>35</c:v>
                </c:pt>
                <c:pt idx="9">
                  <c:v>40</c:v>
                </c:pt>
                <c:pt idx="10" formatCode="General">
                  <c:v>45</c:v>
                </c:pt>
                <c:pt idx="11">
                  <c:v>50</c:v>
                </c:pt>
                <c:pt idx="12">
                  <c:v>55</c:v>
                </c:pt>
                <c:pt idx="13" formatCode="General">
                  <c:v>60</c:v>
                </c:pt>
                <c:pt idx="14">
                  <c:v>67.5</c:v>
                </c:pt>
                <c:pt idx="15" formatCode="General">
                  <c:v>75</c:v>
                </c:pt>
                <c:pt idx="16">
                  <c:v>82.5</c:v>
                </c:pt>
                <c:pt idx="17" formatCode="General">
                  <c:v>90</c:v>
                </c:pt>
                <c:pt idx="18">
                  <c:v>94.5</c:v>
                </c:pt>
                <c:pt idx="19" formatCode="General">
                  <c:v>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C-497A-843F-092F6690A9CA}"/>
            </c:ext>
          </c:extLst>
        </c:ser>
        <c:ser>
          <c:idx val="1"/>
          <c:order val="1"/>
          <c:tx>
            <c:strRef>
              <c:f>Berechnungen!$A$11</c:f>
              <c:strCache>
                <c:ptCount val="1"/>
                <c:pt idx="0">
                  <c:v>Norm-Grenzwert unten</c:v>
                </c:pt>
              </c:strCache>
            </c:strRef>
          </c:tx>
          <c:spPr>
            <a:ln w="12700">
              <a:solidFill>
                <a:prstClr val="black"/>
              </a:solidFill>
            </a:ln>
          </c:spPr>
          <c:marker>
            <c:symbol val="none"/>
          </c:marker>
          <c:cat>
            <c:strRef>
              <c:f>Berechnungen!$E$23:$Z$23</c:f>
              <c:strCache>
                <c:ptCount val="22"/>
                <c:pt idx="0">
                  <c:v>0.063</c:v>
                </c:pt>
                <c:pt idx="2">
                  <c:v>0.125</c:v>
                </c:pt>
                <c:pt idx="4">
                  <c:v>0.25</c:v>
                </c:pt>
                <c:pt idx="6">
                  <c:v>0.5</c:v>
                </c:pt>
                <c:pt idx="8">
                  <c:v>1</c:v>
                </c:pt>
                <c:pt idx="10">
                  <c:v>2</c:v>
                </c:pt>
                <c:pt idx="12">
                  <c:v>4</c:v>
                </c:pt>
                <c:pt idx="13">
                  <c:v>5.6</c:v>
                </c:pt>
                <c:pt idx="14">
                  <c:v>8</c:v>
                </c:pt>
                <c:pt idx="15">
                  <c:v>11.2</c:v>
                </c:pt>
                <c:pt idx="16">
                  <c:v>16</c:v>
                </c:pt>
                <c:pt idx="17">
                  <c:v>22.4</c:v>
                </c:pt>
                <c:pt idx="18">
                  <c:v>31.5</c:v>
                </c:pt>
                <c:pt idx="19">
                  <c:v>45</c:v>
                </c:pt>
                <c:pt idx="20">
                  <c:v>63</c:v>
                </c:pt>
                <c:pt idx="21">
                  <c:v>90</c:v>
                </c:pt>
              </c:strCache>
            </c:strRef>
          </c:cat>
          <c:val>
            <c:numRef>
              <c:f>Berechnungen!$E$11:$Z$11</c:f>
              <c:numCache>
                <c:formatCode>0.0</c:formatCode>
                <c:ptCount val="22"/>
                <c:pt idx="0" formatCode="General">
                  <c:v>0</c:v>
                </c:pt>
                <c:pt idx="1">
                  <c:v>0.83333333333333326</c:v>
                </c:pt>
                <c:pt idx="2">
                  <c:v>1.6666666666666665</c:v>
                </c:pt>
                <c:pt idx="3">
                  <c:v>2.5</c:v>
                </c:pt>
                <c:pt idx="4">
                  <c:v>3.333333333333333</c:v>
                </c:pt>
                <c:pt idx="5">
                  <c:v>4.166666666666667</c:v>
                </c:pt>
                <c:pt idx="6" formatCode="General">
                  <c:v>5</c:v>
                </c:pt>
                <c:pt idx="7">
                  <c:v>6.5</c:v>
                </c:pt>
                <c:pt idx="8" formatCode="General">
                  <c:v>8</c:v>
                </c:pt>
                <c:pt idx="9">
                  <c:v>10.5</c:v>
                </c:pt>
                <c:pt idx="10" formatCode="General">
                  <c:v>13</c:v>
                </c:pt>
                <c:pt idx="11">
                  <c:v>15.333333333333332</c:v>
                </c:pt>
                <c:pt idx="12">
                  <c:v>17.666666666666664</c:v>
                </c:pt>
                <c:pt idx="13" formatCode="General">
                  <c:v>20</c:v>
                </c:pt>
                <c:pt idx="14">
                  <c:v>25</c:v>
                </c:pt>
                <c:pt idx="15" formatCode="General">
                  <c:v>30</c:v>
                </c:pt>
                <c:pt idx="16">
                  <c:v>40</c:v>
                </c:pt>
                <c:pt idx="17" formatCode="General">
                  <c:v>50</c:v>
                </c:pt>
                <c:pt idx="18">
                  <c:v>67.5</c:v>
                </c:pt>
                <c:pt idx="19" formatCode="General">
                  <c:v>85</c:v>
                </c:pt>
                <c:pt idx="20">
                  <c:v>100</c:v>
                </c:pt>
                <c:pt idx="21" formatCode="General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3C-497A-843F-092F6690A9CA}"/>
            </c:ext>
          </c:extLst>
        </c:ser>
        <c:ser>
          <c:idx val="3"/>
          <c:order val="2"/>
          <c:tx>
            <c:strRef>
              <c:f>Berechnungen!$A$17</c:f>
              <c:strCache>
                <c:ptCount val="1"/>
                <c:pt idx="0">
                  <c:v>MDV+ - Bereich oben</c:v>
                </c:pt>
              </c:strCache>
            </c:strRef>
          </c:tx>
          <c:spPr>
            <a:ln w="12700">
              <a:solidFill>
                <a:prstClr val="black"/>
              </a:solidFill>
              <a:prstDash val="lgDashDotDot"/>
            </a:ln>
          </c:spPr>
          <c:marker>
            <c:symbol val="none"/>
          </c:marker>
          <c:cat>
            <c:strRef>
              <c:f>Berechnungen!$E$23:$Z$23</c:f>
              <c:strCache>
                <c:ptCount val="22"/>
                <c:pt idx="0">
                  <c:v>0.063</c:v>
                </c:pt>
                <c:pt idx="2">
                  <c:v>0.125</c:v>
                </c:pt>
                <c:pt idx="4">
                  <c:v>0.25</c:v>
                </c:pt>
                <c:pt idx="6">
                  <c:v>0.5</c:v>
                </c:pt>
                <c:pt idx="8">
                  <c:v>1</c:v>
                </c:pt>
                <c:pt idx="10">
                  <c:v>2</c:v>
                </c:pt>
                <c:pt idx="12">
                  <c:v>4</c:v>
                </c:pt>
                <c:pt idx="13">
                  <c:v>5.6</c:v>
                </c:pt>
                <c:pt idx="14">
                  <c:v>8</c:v>
                </c:pt>
                <c:pt idx="15">
                  <c:v>11.2</c:v>
                </c:pt>
                <c:pt idx="16">
                  <c:v>16</c:v>
                </c:pt>
                <c:pt idx="17">
                  <c:v>22.4</c:v>
                </c:pt>
                <c:pt idx="18">
                  <c:v>31.5</c:v>
                </c:pt>
                <c:pt idx="19">
                  <c:v>45</c:v>
                </c:pt>
                <c:pt idx="20">
                  <c:v>63</c:v>
                </c:pt>
                <c:pt idx="21">
                  <c:v>90</c:v>
                </c:pt>
              </c:strCache>
            </c:strRef>
          </c:cat>
          <c:val>
            <c:numRef>
              <c:f>Berechnungen!$E$17:$Z$17</c:f>
              <c:numCache>
                <c:formatCode>0.0</c:formatCode>
                <c:ptCount val="22"/>
                <c:pt idx="6" formatCode="0_)">
                  <c:v>25</c:v>
                </c:pt>
                <c:pt idx="7">
                  <c:v>27.5</c:v>
                </c:pt>
                <c:pt idx="8" formatCode="0_)">
                  <c:v>30</c:v>
                </c:pt>
                <c:pt idx="9">
                  <c:v>33</c:v>
                </c:pt>
                <c:pt idx="10" formatCode="0_)">
                  <c:v>36</c:v>
                </c:pt>
                <c:pt idx="11">
                  <c:v>40.5</c:v>
                </c:pt>
                <c:pt idx="12">
                  <c:v>45</c:v>
                </c:pt>
                <c:pt idx="13" formatCode="0_)">
                  <c:v>49</c:v>
                </c:pt>
                <c:pt idx="14">
                  <c:v>56.5</c:v>
                </c:pt>
                <c:pt idx="15" formatCode="0_)">
                  <c:v>64</c:v>
                </c:pt>
                <c:pt idx="16">
                  <c:v>71.5</c:v>
                </c:pt>
                <c:pt idx="17" formatCode="0_)">
                  <c:v>79</c:v>
                </c:pt>
                <c:pt idx="19" formatCode="General">
                  <c:v>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83C-497A-843F-092F6690A9CA}"/>
            </c:ext>
          </c:extLst>
        </c:ser>
        <c:ser>
          <c:idx val="4"/>
          <c:order val="3"/>
          <c:tx>
            <c:strRef>
              <c:f>Berechnungen!$A$16</c:f>
              <c:strCache>
                <c:ptCount val="1"/>
                <c:pt idx="0">
                  <c:v>MDV+ - Bereich unten</c:v>
                </c:pt>
              </c:strCache>
            </c:strRef>
          </c:tx>
          <c:spPr>
            <a:ln w="12700">
              <a:solidFill>
                <a:prstClr val="black"/>
              </a:solidFill>
              <a:prstDash val="lgDashDotDot"/>
            </a:ln>
          </c:spPr>
          <c:marker>
            <c:symbol val="none"/>
          </c:marker>
          <c:cat>
            <c:strRef>
              <c:f>Berechnungen!$E$23:$Z$23</c:f>
              <c:strCache>
                <c:ptCount val="22"/>
                <c:pt idx="0">
                  <c:v>0.063</c:v>
                </c:pt>
                <c:pt idx="2">
                  <c:v>0.125</c:v>
                </c:pt>
                <c:pt idx="4">
                  <c:v>0.25</c:v>
                </c:pt>
                <c:pt idx="6">
                  <c:v>0.5</c:v>
                </c:pt>
                <c:pt idx="8">
                  <c:v>1</c:v>
                </c:pt>
                <c:pt idx="10">
                  <c:v>2</c:v>
                </c:pt>
                <c:pt idx="12">
                  <c:v>4</c:v>
                </c:pt>
                <c:pt idx="13">
                  <c:v>5.6</c:v>
                </c:pt>
                <c:pt idx="14">
                  <c:v>8</c:v>
                </c:pt>
                <c:pt idx="15">
                  <c:v>11.2</c:v>
                </c:pt>
                <c:pt idx="16">
                  <c:v>16</c:v>
                </c:pt>
                <c:pt idx="17">
                  <c:v>22.4</c:v>
                </c:pt>
                <c:pt idx="18">
                  <c:v>31.5</c:v>
                </c:pt>
                <c:pt idx="19">
                  <c:v>45</c:v>
                </c:pt>
                <c:pt idx="20">
                  <c:v>63</c:v>
                </c:pt>
                <c:pt idx="21">
                  <c:v>90</c:v>
                </c:pt>
              </c:strCache>
            </c:strRef>
          </c:cat>
          <c:val>
            <c:numRef>
              <c:f>Berechnungen!$E$16:$Z$16</c:f>
              <c:numCache>
                <c:formatCode>0.0</c:formatCode>
                <c:ptCount val="22"/>
                <c:pt idx="6" formatCode="0_)">
                  <c:v>10</c:v>
                </c:pt>
                <c:pt idx="7">
                  <c:v>11.5</c:v>
                </c:pt>
                <c:pt idx="8" formatCode="0_)">
                  <c:v>13</c:v>
                </c:pt>
                <c:pt idx="9">
                  <c:v>15.5</c:v>
                </c:pt>
                <c:pt idx="10" formatCode="0_)">
                  <c:v>18</c:v>
                </c:pt>
                <c:pt idx="11">
                  <c:v>21</c:v>
                </c:pt>
                <c:pt idx="12">
                  <c:v>24</c:v>
                </c:pt>
                <c:pt idx="13" formatCode="0_)">
                  <c:v>27</c:v>
                </c:pt>
                <c:pt idx="14">
                  <c:v>34</c:v>
                </c:pt>
                <c:pt idx="15" formatCode="0_)">
                  <c:v>41</c:v>
                </c:pt>
                <c:pt idx="16">
                  <c:v>51</c:v>
                </c:pt>
                <c:pt idx="17" formatCode="0_)">
                  <c:v>61</c:v>
                </c:pt>
                <c:pt idx="19" formatCode="General">
                  <c:v>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3C-497A-843F-092F6690A9CA}"/>
            </c:ext>
          </c:extLst>
        </c:ser>
        <c:ser>
          <c:idx val="2"/>
          <c:order val="4"/>
          <c:tx>
            <c:strRef>
              <c:f>Berechnungen!$E$33:$T$33</c:f>
              <c:strCache>
                <c:ptCount val="16"/>
                <c:pt idx="0">
                  <c:v>20.0 </c:v>
                </c:pt>
                <c:pt idx="1">
                  <c:v>nicht erfüllt</c:v>
                </c:pt>
                <c:pt idx="2">
                  <c:v>25.0</c:v>
                </c:pt>
                <c:pt idx="4">
                  <c:v>30.0 </c:v>
                </c:pt>
                <c:pt idx="6">
                  <c:v>40.0 </c:v>
                </c:pt>
                <c:pt idx="7">
                  <c:v>10.0 </c:v>
                </c:pt>
                <c:pt idx="8">
                  <c:v>50.0 </c:v>
                </c:pt>
                <c:pt idx="9">
                  <c:v>1</c:v>
                </c:pt>
                <c:pt idx="10">
                  <c:v>60.0 </c:v>
                </c:pt>
                <c:pt idx="11">
                  <c:v>1</c:v>
                </c:pt>
                <c:pt idx="12">
                  <c:v>70.0 </c:v>
                </c:pt>
                <c:pt idx="13">
                  <c:v>76.0 </c:v>
                </c:pt>
                <c:pt idx="14">
                  <c:v>0</c:v>
                </c:pt>
                <c:pt idx="15">
                  <c:v>80.0 </c:v>
                </c:pt>
              </c:strCache>
            </c:strRef>
          </c:tx>
          <c:marker>
            <c:symbol val="none"/>
          </c:marker>
          <c:cat>
            <c:strRef>
              <c:f>Berechnungen!$E$23:$Z$23</c:f>
              <c:strCache>
                <c:ptCount val="22"/>
                <c:pt idx="0">
                  <c:v>0.063</c:v>
                </c:pt>
                <c:pt idx="2">
                  <c:v>0.125</c:v>
                </c:pt>
                <c:pt idx="4">
                  <c:v>0.25</c:v>
                </c:pt>
                <c:pt idx="6">
                  <c:v>0.5</c:v>
                </c:pt>
                <c:pt idx="8">
                  <c:v>1</c:v>
                </c:pt>
                <c:pt idx="10">
                  <c:v>2</c:v>
                </c:pt>
                <c:pt idx="12">
                  <c:v>4</c:v>
                </c:pt>
                <c:pt idx="13">
                  <c:v>5.6</c:v>
                </c:pt>
                <c:pt idx="14">
                  <c:v>8</c:v>
                </c:pt>
                <c:pt idx="15">
                  <c:v>11.2</c:v>
                </c:pt>
                <c:pt idx="16">
                  <c:v>16</c:v>
                </c:pt>
                <c:pt idx="17">
                  <c:v>22.4</c:v>
                </c:pt>
                <c:pt idx="18">
                  <c:v>31.5</c:v>
                </c:pt>
                <c:pt idx="19">
                  <c:v>45</c:v>
                </c:pt>
                <c:pt idx="20">
                  <c:v>63</c:v>
                </c:pt>
                <c:pt idx="21">
                  <c:v>90</c:v>
                </c:pt>
              </c:strCache>
            </c:strRef>
          </c:cat>
          <c:val>
            <c:numRef>
              <c:f>Berechnungen!$E$34:$T$34</c:f>
              <c:numCache>
                <c:formatCode>0.0</c:formatCode>
                <c:ptCount val="1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83C-497A-843F-092F6690A9CA}"/>
            </c:ext>
          </c:extLst>
        </c:ser>
        <c:ser>
          <c:idx val="5"/>
          <c:order val="5"/>
          <c:tx>
            <c:v>M2</c:v>
          </c:tx>
          <c:spPr>
            <a:ln w="15875">
              <a:solidFill>
                <a:sysClr val="windowText" lastClr="000000"/>
              </a:solidFill>
              <a:prstDash val="solid"/>
            </a:ln>
          </c:spPr>
          <c:marker>
            <c:symbol val="none"/>
          </c:marker>
          <c:cat>
            <c:strRef>
              <c:f>Berechnungen!$E$23:$Z$23</c:f>
              <c:strCache>
                <c:ptCount val="22"/>
                <c:pt idx="0">
                  <c:v>0.063</c:v>
                </c:pt>
                <c:pt idx="2">
                  <c:v>0.125</c:v>
                </c:pt>
                <c:pt idx="4">
                  <c:v>0.25</c:v>
                </c:pt>
                <c:pt idx="6">
                  <c:v>0.5</c:v>
                </c:pt>
                <c:pt idx="8">
                  <c:v>1</c:v>
                </c:pt>
                <c:pt idx="10">
                  <c:v>2</c:v>
                </c:pt>
                <c:pt idx="12">
                  <c:v>4</c:v>
                </c:pt>
                <c:pt idx="13">
                  <c:v>5.6</c:v>
                </c:pt>
                <c:pt idx="14">
                  <c:v>8</c:v>
                </c:pt>
                <c:pt idx="15">
                  <c:v>11.2</c:v>
                </c:pt>
                <c:pt idx="16">
                  <c:v>16</c:v>
                </c:pt>
                <c:pt idx="17">
                  <c:v>22.4</c:v>
                </c:pt>
                <c:pt idx="18">
                  <c:v>31.5</c:v>
                </c:pt>
                <c:pt idx="19">
                  <c:v>45</c:v>
                </c:pt>
                <c:pt idx="20">
                  <c:v>63</c:v>
                </c:pt>
                <c:pt idx="21">
                  <c:v>90</c:v>
                </c:pt>
              </c:strCache>
            </c:strRef>
          </c:cat>
          <c:val>
            <c:numRef>
              <c:f>Berechnungen!$E$24:$Z$24</c:f>
              <c:numCache>
                <c:formatCode>General</c:formatCode>
                <c:ptCount val="22"/>
                <c:pt idx="0" formatCode="0.0_)">
                  <c:v>20</c:v>
                </c:pt>
                <c:pt idx="2" formatCode="0.0">
                  <c:v>25</c:v>
                </c:pt>
                <c:pt idx="4" formatCode="0.0_)">
                  <c:v>30</c:v>
                </c:pt>
                <c:pt idx="6" formatCode="0.0_)">
                  <c:v>40</c:v>
                </c:pt>
                <c:pt idx="7" formatCode="0.0">
                  <c:v>45</c:v>
                </c:pt>
                <c:pt idx="8" formatCode="0.0_)">
                  <c:v>50</c:v>
                </c:pt>
                <c:pt idx="9" formatCode="0.0">
                  <c:v>55</c:v>
                </c:pt>
                <c:pt idx="10" formatCode="0.0_)">
                  <c:v>60</c:v>
                </c:pt>
                <c:pt idx="11" formatCode="0.0">
                  <c:v>65</c:v>
                </c:pt>
                <c:pt idx="12" formatCode="0.0_)">
                  <c:v>70</c:v>
                </c:pt>
                <c:pt idx="13" formatCode="0.0_)">
                  <c:v>76</c:v>
                </c:pt>
                <c:pt idx="14" formatCode="0.0_)">
                  <c:v>78</c:v>
                </c:pt>
                <c:pt idx="15" formatCode="0.0_)">
                  <c:v>80</c:v>
                </c:pt>
                <c:pt idx="16" formatCode="0.0_)">
                  <c:v>82</c:v>
                </c:pt>
                <c:pt idx="17" formatCode="0.0_)">
                  <c:v>84</c:v>
                </c:pt>
                <c:pt idx="18" formatCode="0.0_)">
                  <c:v>86</c:v>
                </c:pt>
                <c:pt idx="19" formatCode="0.0_)">
                  <c:v>88</c:v>
                </c:pt>
                <c:pt idx="20" formatCode="0.0_)">
                  <c:v>90</c:v>
                </c:pt>
                <c:pt idx="21" formatCode="0.0_)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83C-497A-843F-092F6690A9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830272"/>
        <c:axId val="137900032"/>
      </c:lineChart>
      <c:catAx>
        <c:axId val="63830272"/>
        <c:scaling>
          <c:orientation val="minMax"/>
        </c:scaling>
        <c:delete val="0"/>
        <c:axPos val="b"/>
        <c:majorGridlines>
          <c:spPr>
            <a:ln w="3175">
              <a:solidFill>
                <a:srgbClr val="EEECE1">
                  <a:lumMod val="75000"/>
                </a:srgbClr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majorTickMark val="in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70" b="0" i="0" u="none" strike="noStrike" baseline="0">
                <a:solidFill>
                  <a:srgbClr val="000000"/>
                </a:solidFill>
                <a:latin typeface="Arial Narrow" pitchFamily="34" charset="0"/>
                <a:ea typeface="Arial"/>
                <a:cs typeface="Arial"/>
              </a:defRPr>
            </a:pPr>
            <a:endParaRPr lang="de-DE"/>
          </a:p>
        </c:txPr>
        <c:crossAx val="137900032"/>
        <c:crosses val="autoZero"/>
        <c:auto val="1"/>
        <c:lblAlgn val="ctr"/>
        <c:lblOffset val="100"/>
        <c:tickMarkSkip val="2"/>
        <c:noMultiLvlLbl val="0"/>
      </c:catAx>
      <c:valAx>
        <c:axId val="137900032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EEECE1">
                  <a:lumMod val="75000"/>
                </a:srgbClr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3830272"/>
        <c:crosses val="autoZero"/>
        <c:crossBetween val="midCat"/>
        <c:majorUnit val="10"/>
        <c:minorUnit val="1"/>
      </c:valAx>
      <c:spPr>
        <a:solidFill>
          <a:srgbClr val="FFFFFF"/>
        </a:solidFill>
        <a:ln w="6350">
          <a:solidFill>
            <a:srgbClr val="000000"/>
          </a:solidFill>
        </a:ln>
      </c:spPr>
    </c:plotArea>
    <c:plotVisOnly val="0"/>
    <c:dispBlanksAs val="span"/>
    <c:showDLblsOverMax val="0"/>
  </c:chart>
  <c:spPr>
    <a:solidFill>
      <a:srgbClr val="FFFFFF"/>
    </a:solidFill>
    <a:ln w="3175">
      <a:solidFill>
        <a:sysClr val="windowText" lastClr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>
      <c:oddHeader>&amp;B</c:oddHeader>
      <c:oddFooter>Seite &amp;S</c:oddFooter>
    </c:headerFooter>
    <c:pageMargins b="0.98425196899999956" l="0.78740157499999996" r="0.78740157499999996" t="0.98425196899999956" header="0.49212598450000683" footer="0.49212598450000683"/>
    <c:pageSetup paperSize="9" orientation="landscape"/>
  </c:printSettings>
</c:chartSpace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checked="Checked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4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46383</xdr:rowOff>
    </xdr:from>
    <xdr:to>
      <xdr:col>5</xdr:col>
      <xdr:colOff>490904</xdr:colOff>
      <xdr:row>31</xdr:row>
      <xdr:rowOff>157371</xdr:rowOff>
    </xdr:to>
    <xdr:graphicFrame macro="">
      <xdr:nvGraphicFramePr>
        <xdr:cNvPr id="5" name="Chart 18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64</xdr:row>
          <xdr:rowOff>114300</xdr:rowOff>
        </xdr:from>
        <xdr:to>
          <xdr:col>1</xdr:col>
          <xdr:colOff>9525</xdr:colOff>
          <xdr:row>66</xdr:row>
          <xdr:rowOff>0</xdr:rowOff>
        </xdr:to>
        <xdr:sp macro="" textlink="">
          <xdr:nvSpPr>
            <xdr:cNvPr id="1048" name="Option Button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495300</xdr:colOff>
          <xdr:row>64</xdr:row>
          <xdr:rowOff>85725</xdr:rowOff>
        </xdr:from>
        <xdr:to>
          <xdr:col>1</xdr:col>
          <xdr:colOff>466725</xdr:colOff>
          <xdr:row>66</xdr:row>
          <xdr:rowOff>9525</xdr:rowOff>
        </xdr:to>
        <xdr:sp macro="" textlink="">
          <xdr:nvSpPr>
            <xdr:cNvPr id="1049" name="Option Button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9525</xdr:colOff>
          <xdr:row>0</xdr:row>
          <xdr:rowOff>629477</xdr:rowOff>
        </xdr:from>
        <xdr:to>
          <xdr:col>10</xdr:col>
          <xdr:colOff>9525</xdr:colOff>
          <xdr:row>5</xdr:row>
          <xdr:rowOff>0</xdr:rowOff>
        </xdr:to>
        <xdr:pic>
          <xdr:nvPicPr>
            <xdr:cNvPr id="1082" name="Picture 58">
              <a:extLs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PicPr>
              <a:picLocks noChangeArrowheads="1"/>
              <a:extLst>
                <a:ext uri="{84589F7E-364E-4C9E-8A38-B11213B215E9}">
                  <a14:cameraTool cellRange="Zertifizierungsstelle" spid="_x0000_s1470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4575572" y="629477"/>
              <a:ext cx="1529953" cy="692117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xdr:twoCellAnchor editAs="oneCell">
    <xdr:from>
      <xdr:col>0</xdr:col>
      <xdr:colOff>29765</xdr:colOff>
      <xdr:row>0</xdr:row>
      <xdr:rowOff>11906</xdr:rowOff>
    </xdr:from>
    <xdr:to>
      <xdr:col>3</xdr:col>
      <xdr:colOff>494110</xdr:colOff>
      <xdr:row>0</xdr:row>
      <xdr:rowOff>595106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9765" y="11906"/>
          <a:ext cx="2000251" cy="583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24845</xdr:colOff>
      <xdr:row>2</xdr:row>
      <xdr:rowOff>24837</xdr:rowOff>
    </xdr:from>
    <xdr:to>
      <xdr:col>4</xdr:col>
      <xdr:colOff>1449457</xdr:colOff>
      <xdr:row>2</xdr:row>
      <xdr:rowOff>708837</xdr:rowOff>
    </xdr:to>
    <xdr:pic>
      <xdr:nvPicPr>
        <xdr:cNvPr id="2" name="Grafik 1" descr="index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 l="3779" t="15561" r="-1519" b="22197"/>
        <a:stretch>
          <a:fillRect/>
        </a:stretch>
      </xdr:blipFill>
      <xdr:spPr>
        <a:xfrm>
          <a:off x="6112562" y="364424"/>
          <a:ext cx="1424612" cy="684000"/>
        </a:xfrm>
        <a:prstGeom prst="rect">
          <a:avLst/>
        </a:prstGeom>
      </xdr:spPr>
    </xdr:pic>
    <xdr:clientData/>
  </xdr:twoCellAnchor>
  <xdr:twoCellAnchor editAs="oneCell">
    <xdr:from>
      <xdr:col>5</xdr:col>
      <xdr:colOff>24846</xdr:colOff>
      <xdr:row>2</xdr:row>
      <xdr:rowOff>16565</xdr:rowOff>
    </xdr:from>
    <xdr:to>
      <xdr:col>5</xdr:col>
      <xdr:colOff>1392845</xdr:colOff>
      <xdr:row>2</xdr:row>
      <xdr:rowOff>700565</xdr:rowOff>
    </xdr:to>
    <xdr:pic>
      <xdr:nvPicPr>
        <xdr:cNvPr id="3" name="Grafik 2" descr="S-Cert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460433" y="356152"/>
          <a:ext cx="1367999" cy="684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d3201\user$\Daten%20Christen\SBL%20Vorlagen\S62_V_BM%20Pr&#252;fbericht%20AC_D_Te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 8"/>
      <sheetName val="AC 11"/>
      <sheetName val="AC 16"/>
      <sheetName val="AC T 22"/>
      <sheetName val="AC T 32"/>
      <sheetName val="AC MR 11"/>
      <sheetName val=" SMA 11"/>
    </sheetNames>
    <sheetDataSet>
      <sheetData sheetId="0" refreshError="1"/>
      <sheetData sheetId="1">
        <row r="1">
          <cell r="B1" t="str">
            <v>Strassenbaulabor des Kantons Bern    Schermenweg 11, 3014 Bern</v>
          </cell>
        </row>
        <row r="61">
          <cell r="Z61">
            <v>6.3E-2</v>
          </cell>
          <cell r="AA61">
            <v>0.09</v>
          </cell>
          <cell r="AB61">
            <v>0.125</v>
          </cell>
          <cell r="AC61"/>
          <cell r="AD61">
            <v>0.25</v>
          </cell>
          <cell r="AE61"/>
          <cell r="AF61">
            <v>0.5</v>
          </cell>
          <cell r="AG61"/>
          <cell r="AH61">
            <v>1</v>
          </cell>
          <cell r="AI61"/>
          <cell r="AJ61">
            <v>2</v>
          </cell>
          <cell r="AK61">
            <v>2.8</v>
          </cell>
          <cell r="AL61">
            <v>4</v>
          </cell>
          <cell r="AM61">
            <v>5.6</v>
          </cell>
          <cell r="AN61">
            <v>8</v>
          </cell>
          <cell r="AO61">
            <v>11.2</v>
          </cell>
          <cell r="AP61">
            <v>16</v>
          </cell>
          <cell r="AQ61">
            <v>22.4</v>
          </cell>
          <cell r="AR61">
            <v>31.5</v>
          </cell>
          <cell r="AS61">
            <v>45</v>
          </cell>
          <cell r="AT61">
            <v>63</v>
          </cell>
          <cell r="AU61"/>
        </row>
        <row r="62">
          <cell r="Z62">
            <v>7.7903520804755368</v>
          </cell>
          <cell r="AA62">
            <v>9.310699588477366</v>
          </cell>
          <cell r="AB62">
            <v>10.831047096479196</v>
          </cell>
          <cell r="AC62">
            <v>12.797210791037951</v>
          </cell>
          <cell r="AD62">
            <v>14.763374485596708</v>
          </cell>
          <cell r="AE62">
            <v>16.729538180155465</v>
          </cell>
          <cell r="AF62">
            <v>18.695701874714221</v>
          </cell>
          <cell r="AG62">
            <v>21.956447187928667</v>
          </cell>
          <cell r="AH62">
            <v>25.217192501143117</v>
          </cell>
          <cell r="AI62">
            <v>31.432898948331047</v>
          </cell>
          <cell r="AJ62">
            <v>37.648605395518977</v>
          </cell>
          <cell r="AK62">
            <v>47.270804755372659</v>
          </cell>
          <cell r="AL62">
            <v>56.89300411522634</v>
          </cell>
          <cell r="AM62">
            <v>66.769547325102877</v>
          </cell>
          <cell r="AN62">
            <v>81.692958390489252</v>
          </cell>
          <cell r="AO62">
            <v>97.519433013260169</v>
          </cell>
          <cell r="AP62">
            <v>100</v>
          </cell>
        </row>
        <row r="63">
          <cell r="Z63">
            <v>5</v>
          </cell>
          <cell r="AA63">
            <v>6.5003000000000002</v>
          </cell>
          <cell r="AB63">
            <v>8.0006000000000004</v>
          </cell>
          <cell r="AC63">
            <v>9.5008999999999997</v>
          </cell>
          <cell r="AD63">
            <v>11.001200000000001</v>
          </cell>
          <cell r="AE63">
            <v>12.5015</v>
          </cell>
          <cell r="AF63">
            <v>14</v>
          </cell>
          <cell r="AG63">
            <v>17</v>
          </cell>
          <cell r="AH63">
            <v>20</v>
          </cell>
          <cell r="AI63">
            <v>25.5</v>
          </cell>
          <cell r="AJ63">
            <v>31</v>
          </cell>
          <cell r="AK63">
            <v>39</v>
          </cell>
          <cell r="AL63">
            <v>47</v>
          </cell>
          <cell r="AM63">
            <v>59.5</v>
          </cell>
          <cell r="AN63">
            <v>72</v>
          </cell>
          <cell r="AO63">
            <v>90</v>
          </cell>
          <cell r="AP63">
            <v>100</v>
          </cell>
        </row>
        <row r="64">
          <cell r="Z64">
            <v>12</v>
          </cell>
          <cell r="AA64">
            <v>14.8339</v>
          </cell>
          <cell r="AB64">
            <v>17.6678</v>
          </cell>
          <cell r="AC64">
            <v>20.5017</v>
          </cell>
          <cell r="AD64">
            <v>23.335599999999999</v>
          </cell>
          <cell r="AE64">
            <v>26.169499999999999</v>
          </cell>
          <cell r="AF64">
            <v>29</v>
          </cell>
          <cell r="AG64">
            <v>34</v>
          </cell>
          <cell r="AH64">
            <v>39</v>
          </cell>
          <cell r="AI64">
            <v>46</v>
          </cell>
          <cell r="AJ64">
            <v>53</v>
          </cell>
          <cell r="AK64">
            <v>61.5</v>
          </cell>
          <cell r="AL64">
            <v>70</v>
          </cell>
          <cell r="AM64">
            <v>81.5</v>
          </cell>
          <cell r="AN64">
            <v>93</v>
          </cell>
          <cell r="AO64">
            <v>100</v>
          </cell>
        </row>
      </sheetData>
      <sheetData sheetId="2" refreshError="1"/>
      <sheetData sheetId="3" refreshError="1"/>
      <sheetData sheetId="4" refreshError="1"/>
      <sheetData sheetId="5" refreshError="1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Larissa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Larissa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Larissa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M68"/>
  <sheetViews>
    <sheetView tabSelected="1" zoomScale="160" zoomScaleNormal="160" zoomScaleSheetLayoutView="130" workbookViewId="0">
      <selection activeCell="I55" sqref="I55"/>
    </sheetView>
  </sheetViews>
  <sheetFormatPr baseColWidth="10" defaultColWidth="27.28515625" defaultRowHeight="12" x14ac:dyDescent="0.25"/>
  <cols>
    <col min="1" max="6" width="7.7109375" style="77" customWidth="1"/>
    <col min="7" max="7" width="12.7109375" style="77" customWidth="1"/>
    <col min="8" max="8" width="9.7109375" style="77" customWidth="1"/>
    <col min="9" max="9" width="16.7109375" style="94" customWidth="1"/>
    <col min="10" max="10" width="6.28515625" style="77" customWidth="1"/>
    <col min="11" max="16" width="7.7109375" style="77" customWidth="1"/>
    <col min="17" max="16384" width="27.28515625" style="77"/>
  </cols>
  <sheetData>
    <row r="1" spans="1:10" s="72" customFormat="1" ht="50.1" customHeight="1" x14ac:dyDescent="0.25">
      <c r="A1" s="137"/>
      <c r="B1" s="137"/>
      <c r="C1" s="137"/>
      <c r="D1" s="137"/>
      <c r="E1" s="172" t="s">
        <v>226</v>
      </c>
      <c r="F1" s="172"/>
      <c r="G1" s="172"/>
      <c r="H1" s="172"/>
      <c r="I1" s="172"/>
      <c r="J1" s="172"/>
    </row>
    <row r="2" spans="1:10" s="72" customFormat="1" ht="12.95" customHeight="1" x14ac:dyDescent="0.25">
      <c r="A2" s="164" t="s">
        <v>149</v>
      </c>
      <c r="B2" s="164"/>
      <c r="C2" s="164"/>
      <c r="D2" s="165" t="s">
        <v>203</v>
      </c>
      <c r="E2" s="165"/>
      <c r="F2" s="165"/>
      <c r="G2" s="165"/>
      <c r="H2" s="165"/>
      <c r="I2" s="173" t="s">
        <v>193</v>
      </c>
      <c r="J2" s="173"/>
    </row>
    <row r="3" spans="1:10" s="72" customFormat="1" ht="12.95" customHeight="1" thickBot="1" x14ac:dyDescent="0.3">
      <c r="A3" s="164"/>
      <c r="B3" s="164"/>
      <c r="C3" s="164"/>
      <c r="D3" s="165"/>
      <c r="E3" s="165"/>
      <c r="F3" s="165"/>
      <c r="G3" s="165"/>
      <c r="H3" s="165"/>
      <c r="I3" s="173"/>
      <c r="J3" s="173"/>
    </row>
    <row r="4" spans="1:10" s="72" customFormat="1" ht="12.95" customHeight="1" x14ac:dyDescent="0.25">
      <c r="A4" s="164"/>
      <c r="B4" s="164"/>
      <c r="C4" s="164"/>
      <c r="D4" s="166" t="s">
        <v>136</v>
      </c>
      <c r="E4" s="167"/>
      <c r="F4" s="167"/>
      <c r="G4" s="167"/>
      <c r="H4" s="168"/>
      <c r="I4" s="173"/>
      <c r="J4" s="173"/>
    </row>
    <row r="5" spans="1:10" s="72" customFormat="1" ht="12.95" customHeight="1" thickBot="1" x14ac:dyDescent="0.3">
      <c r="A5" s="164"/>
      <c r="B5" s="164"/>
      <c r="C5" s="164"/>
      <c r="D5" s="169"/>
      <c r="E5" s="170"/>
      <c r="F5" s="170"/>
      <c r="G5" s="170"/>
      <c r="H5" s="171"/>
      <c r="I5" s="173"/>
      <c r="J5" s="173"/>
    </row>
    <row r="6" spans="1:10" s="72" customFormat="1" ht="8.1" customHeight="1" x14ac:dyDescent="0.25">
      <c r="A6" s="157"/>
      <c r="B6" s="157"/>
      <c r="C6" s="157"/>
      <c r="D6" s="158"/>
      <c r="E6" s="158"/>
      <c r="F6" s="158"/>
      <c r="G6" s="158"/>
      <c r="H6" s="158"/>
      <c r="I6" s="158"/>
      <c r="J6" s="157"/>
    </row>
    <row r="7" spans="1:10" s="72" customFormat="1" ht="14.1" customHeight="1" x14ac:dyDescent="0.25">
      <c r="A7" s="159" t="s">
        <v>205</v>
      </c>
      <c r="B7" s="174" t="s">
        <v>283</v>
      </c>
      <c r="C7" s="174"/>
      <c r="D7" s="174"/>
      <c r="E7" s="174"/>
      <c r="F7" s="174"/>
      <c r="G7" s="97"/>
      <c r="H7" s="161" t="s">
        <v>279</v>
      </c>
      <c r="I7" s="138" t="str">
        <f>IF(J7="SÜGB",Form_Liste!E5,Form_Liste!F5)</f>
        <v>NB 2115 (SÜGB)</v>
      </c>
      <c r="J7" s="147" t="s">
        <v>202</v>
      </c>
    </row>
    <row r="8" spans="1:10" s="72" customFormat="1" ht="8.1" customHeight="1" x14ac:dyDescent="0.25">
      <c r="A8" s="73"/>
      <c r="B8" s="73"/>
      <c r="C8" s="73"/>
      <c r="D8" s="74"/>
      <c r="E8" s="158"/>
      <c r="F8" s="158"/>
      <c r="G8" s="158"/>
      <c r="H8" s="158"/>
      <c r="I8" s="158"/>
      <c r="J8" s="157"/>
    </row>
    <row r="9" spans="1:10" s="72" customFormat="1" ht="14.1" customHeight="1" x14ac:dyDescent="0.25">
      <c r="A9" s="160" t="s">
        <v>270</v>
      </c>
      <c r="B9" s="113"/>
      <c r="C9" s="125"/>
      <c r="D9" s="174" t="s">
        <v>280</v>
      </c>
      <c r="E9" s="174"/>
      <c r="F9" s="174"/>
      <c r="G9" s="174"/>
      <c r="H9" s="82" t="s">
        <v>265</v>
      </c>
      <c r="I9" s="174" t="s">
        <v>289</v>
      </c>
      <c r="J9" s="174"/>
    </row>
    <row r="10" spans="1:10" s="72" customFormat="1" ht="6" customHeight="1" x14ac:dyDescent="0.25">
      <c r="A10" s="114"/>
      <c r="B10" s="114"/>
      <c r="D10" s="97"/>
      <c r="E10" s="82"/>
      <c r="F10" s="82"/>
      <c r="G10" s="83"/>
      <c r="H10" s="83"/>
      <c r="I10" s="126"/>
    </row>
    <row r="11" spans="1:10" s="72" customFormat="1" ht="14.1" customHeight="1" x14ac:dyDescent="0.25">
      <c r="A11" s="144" t="s">
        <v>278</v>
      </c>
      <c r="B11" s="82"/>
      <c r="C11" s="82"/>
      <c r="D11" s="163"/>
      <c r="E11" s="163"/>
      <c r="F11" s="163"/>
      <c r="G11" s="163"/>
      <c r="H11" s="82" t="s">
        <v>265</v>
      </c>
      <c r="I11" s="163" t="s">
        <v>286</v>
      </c>
      <c r="J11" s="163"/>
    </row>
    <row r="12" spans="1:10" s="72" customFormat="1" ht="6" customHeight="1" x14ac:dyDescent="0.25">
      <c r="A12" s="114"/>
      <c r="B12" s="114"/>
      <c r="D12" s="97"/>
      <c r="E12" s="82"/>
      <c r="F12" s="82"/>
      <c r="G12" s="83"/>
      <c r="H12" s="83"/>
      <c r="I12" s="126"/>
    </row>
    <row r="13" spans="1:10" s="72" customFormat="1" ht="14.1" customHeight="1" x14ac:dyDescent="0.25">
      <c r="A13" s="144" t="s">
        <v>264</v>
      </c>
      <c r="B13" s="82"/>
      <c r="C13" s="82"/>
      <c r="D13" s="163"/>
      <c r="E13" s="163"/>
      <c r="F13" s="163"/>
      <c r="G13" s="163"/>
      <c r="H13" s="82" t="s">
        <v>265</v>
      </c>
      <c r="I13" s="163" t="s">
        <v>287</v>
      </c>
      <c r="J13" s="163"/>
    </row>
    <row r="14" spans="1:10" s="72" customFormat="1" ht="6" customHeight="1" x14ac:dyDescent="0.25">
      <c r="A14" s="114"/>
      <c r="B14" s="114"/>
      <c r="D14" s="97"/>
      <c r="E14" s="82"/>
      <c r="F14" s="82"/>
      <c r="G14" s="83"/>
      <c r="H14" s="83"/>
      <c r="I14" s="126"/>
    </row>
    <row r="15" spans="1:10" s="72" customFormat="1" ht="8.1" customHeight="1" x14ac:dyDescent="0.25">
      <c r="A15" s="114"/>
      <c r="B15" s="114"/>
      <c r="D15" s="97"/>
      <c r="E15" s="82"/>
      <c r="F15" s="82"/>
      <c r="G15" s="83"/>
      <c r="H15" s="83"/>
      <c r="I15" s="126"/>
    </row>
    <row r="16" spans="1:10" ht="12" customHeight="1" x14ac:dyDescent="0.25">
      <c r="A16" s="90" t="s">
        <v>293</v>
      </c>
      <c r="B16" s="90"/>
      <c r="C16" s="91"/>
      <c r="D16" s="130"/>
      <c r="E16" s="91"/>
      <c r="F16" s="92"/>
      <c r="G16" s="90"/>
      <c r="H16" s="90"/>
      <c r="I16" s="92"/>
      <c r="J16" s="92"/>
    </row>
    <row r="17" spans="1:13" ht="12" customHeight="1" x14ac:dyDescent="0.25">
      <c r="A17" s="123"/>
      <c r="B17"/>
      <c r="C17" s="115"/>
      <c r="D17" s="115"/>
      <c r="E17" s="82"/>
      <c r="G17" s="82" t="s">
        <v>212</v>
      </c>
      <c r="I17" s="93" t="s">
        <v>162</v>
      </c>
      <c r="J17" s="93"/>
    </row>
    <row r="18" spans="1:13" ht="12" customHeight="1" x14ac:dyDescent="0.25">
      <c r="A18" s="82" t="s">
        <v>164</v>
      </c>
      <c r="B18" s="82"/>
      <c r="C18" s="82"/>
      <c r="D18" s="82"/>
      <c r="E18" s="139" t="s">
        <v>232</v>
      </c>
      <c r="G18" s="93">
        <v>100</v>
      </c>
      <c r="H18" s="93" t="s">
        <v>163</v>
      </c>
      <c r="I18" s="148">
        <v>100</v>
      </c>
      <c r="J18" s="82" t="s">
        <v>148</v>
      </c>
    </row>
    <row r="19" spans="1:13" ht="12" customHeight="1" x14ac:dyDescent="0.25">
      <c r="A19" s="123"/>
      <c r="B19" s="93"/>
      <c r="C19" s="93"/>
      <c r="D19" s="93"/>
      <c r="E19" s="93"/>
      <c r="F19" s="84"/>
      <c r="G19" s="93">
        <v>100</v>
      </c>
      <c r="H19" s="93" t="s">
        <v>153</v>
      </c>
      <c r="I19" s="148">
        <v>90</v>
      </c>
      <c r="J19" s="82" t="s">
        <v>148</v>
      </c>
      <c r="M19" s="93"/>
    </row>
    <row r="20" spans="1:13" ht="12" customHeight="1" x14ac:dyDescent="0.25">
      <c r="A20" s="123"/>
      <c r="B20" s="93"/>
      <c r="C20" s="93"/>
      <c r="D20" s="93"/>
      <c r="E20" s="93"/>
      <c r="G20" s="108" t="s">
        <v>152</v>
      </c>
      <c r="H20" s="93" t="s">
        <v>154</v>
      </c>
      <c r="I20" s="149">
        <v>88</v>
      </c>
      <c r="J20" s="82" t="s">
        <v>148</v>
      </c>
      <c r="M20" s="93"/>
    </row>
    <row r="21" spans="1:13" ht="12" customHeight="1" x14ac:dyDescent="0.25">
      <c r="A21" s="123"/>
      <c r="B21" s="93"/>
      <c r="C21" s="93"/>
      <c r="D21" s="93"/>
      <c r="E21" s="93"/>
      <c r="G21" s="108"/>
      <c r="H21" s="93" t="s">
        <v>227</v>
      </c>
      <c r="I21" s="149">
        <v>86</v>
      </c>
      <c r="J21" s="82"/>
      <c r="M21" s="93"/>
    </row>
    <row r="22" spans="1:13" ht="12" customHeight="1" x14ac:dyDescent="0.25">
      <c r="A22" s="123"/>
      <c r="B22" s="93"/>
      <c r="C22" s="93"/>
      <c r="D22" s="93"/>
      <c r="E22" s="93"/>
      <c r="G22" s="108" t="s">
        <v>109</v>
      </c>
      <c r="H22" s="93" t="s">
        <v>155</v>
      </c>
      <c r="I22" s="149">
        <v>84</v>
      </c>
      <c r="J22" s="82" t="s">
        <v>148</v>
      </c>
      <c r="M22" s="93"/>
    </row>
    <row r="23" spans="1:13" ht="12" customHeight="1" x14ac:dyDescent="0.25">
      <c r="A23" s="123"/>
      <c r="B23" s="93"/>
      <c r="C23" s="93"/>
      <c r="D23" s="93"/>
      <c r="E23" s="93"/>
      <c r="G23" s="108"/>
      <c r="H23" s="93" t="s">
        <v>228</v>
      </c>
      <c r="I23" s="149">
        <v>82</v>
      </c>
      <c r="J23" s="82"/>
      <c r="M23" s="93"/>
    </row>
    <row r="24" spans="1:13" ht="12" customHeight="1" x14ac:dyDescent="0.25">
      <c r="A24" s="123"/>
      <c r="B24" s="93"/>
      <c r="C24" s="93"/>
      <c r="D24" s="108"/>
      <c r="E24" s="108"/>
      <c r="G24" s="108" t="s">
        <v>108</v>
      </c>
      <c r="H24" s="93" t="s">
        <v>156</v>
      </c>
      <c r="I24" s="149">
        <v>80</v>
      </c>
      <c r="J24" s="82" t="s">
        <v>148</v>
      </c>
      <c r="M24" s="93"/>
    </row>
    <row r="25" spans="1:13" ht="12" customHeight="1" x14ac:dyDescent="0.25">
      <c r="A25" s="123"/>
      <c r="B25" s="93"/>
      <c r="C25" s="93"/>
      <c r="D25" s="108"/>
      <c r="E25" s="108"/>
      <c r="G25" s="108"/>
      <c r="H25" s="93" t="s">
        <v>229</v>
      </c>
      <c r="I25" s="149">
        <v>78</v>
      </c>
      <c r="J25" s="82"/>
      <c r="M25" s="93"/>
    </row>
    <row r="26" spans="1:13" ht="12" customHeight="1" x14ac:dyDescent="0.25">
      <c r="A26" s="123"/>
      <c r="B26" s="93"/>
      <c r="C26" s="93"/>
      <c r="D26" s="108"/>
      <c r="E26" s="108"/>
      <c r="G26" s="108" t="s">
        <v>214</v>
      </c>
      <c r="H26" s="93" t="s">
        <v>157</v>
      </c>
      <c r="I26" s="149">
        <v>76</v>
      </c>
      <c r="J26" s="82" t="s">
        <v>148</v>
      </c>
      <c r="M26" s="93"/>
    </row>
    <row r="27" spans="1:13" ht="12" customHeight="1" x14ac:dyDescent="0.25">
      <c r="A27" s="123"/>
      <c r="B27" s="93"/>
      <c r="C27" s="93"/>
      <c r="D27" s="108"/>
      <c r="E27" s="108"/>
      <c r="G27" s="108" t="s">
        <v>231</v>
      </c>
      <c r="H27" s="93" t="s">
        <v>230</v>
      </c>
      <c r="I27" s="149">
        <v>70</v>
      </c>
      <c r="J27" s="82"/>
      <c r="M27" s="93"/>
    </row>
    <row r="28" spans="1:13" ht="12" customHeight="1" x14ac:dyDescent="0.25">
      <c r="A28" s="123"/>
      <c r="B28" s="93"/>
      <c r="C28" s="93"/>
      <c r="D28" s="108"/>
      <c r="E28" s="108"/>
      <c r="G28" s="108" t="s">
        <v>213</v>
      </c>
      <c r="H28" s="93" t="s">
        <v>158</v>
      </c>
      <c r="I28" s="149">
        <v>60</v>
      </c>
      <c r="J28" s="82" t="s">
        <v>148</v>
      </c>
      <c r="M28" s="93"/>
    </row>
    <row r="29" spans="1:13" ht="12" customHeight="1" x14ac:dyDescent="0.25">
      <c r="A29" s="123"/>
      <c r="B29" s="93"/>
      <c r="C29" s="93"/>
      <c r="D29" s="108"/>
      <c r="E29" s="108"/>
      <c r="G29" s="108" t="s">
        <v>107</v>
      </c>
      <c r="H29" s="93" t="s">
        <v>159</v>
      </c>
      <c r="I29" s="149">
        <v>50</v>
      </c>
      <c r="J29" s="82" t="s">
        <v>148</v>
      </c>
      <c r="M29" s="93"/>
    </row>
    <row r="30" spans="1:13" ht="12" customHeight="1" x14ac:dyDescent="0.25">
      <c r="A30" s="123"/>
      <c r="B30" s="93"/>
      <c r="C30" s="93"/>
      <c r="D30" s="108"/>
      <c r="E30" s="108"/>
      <c r="G30" s="108" t="s">
        <v>292</v>
      </c>
      <c r="H30" s="93" t="s">
        <v>160</v>
      </c>
      <c r="I30" s="149">
        <v>40</v>
      </c>
      <c r="J30" s="82" t="s">
        <v>148</v>
      </c>
      <c r="M30" s="93"/>
    </row>
    <row r="31" spans="1:13" ht="12" customHeight="1" x14ac:dyDescent="0.25">
      <c r="A31" s="123"/>
      <c r="B31" s="93"/>
      <c r="C31" s="93"/>
      <c r="D31" s="108"/>
      <c r="E31" s="108"/>
      <c r="G31" s="108"/>
      <c r="H31" s="93" t="s">
        <v>172</v>
      </c>
      <c r="I31" s="149">
        <v>30</v>
      </c>
      <c r="J31" s="82" t="s">
        <v>148</v>
      </c>
      <c r="M31" s="93"/>
    </row>
    <row r="32" spans="1:13" ht="12" customHeight="1" x14ac:dyDescent="0.25">
      <c r="A32" s="123"/>
      <c r="B32" s="93"/>
      <c r="C32" s="93"/>
      <c r="D32" s="93"/>
      <c r="E32" s="93"/>
      <c r="F32" s="84"/>
      <c r="G32" s="93" t="s">
        <v>82</v>
      </c>
      <c r="H32" s="93" t="s">
        <v>161</v>
      </c>
      <c r="I32" s="149">
        <v>20</v>
      </c>
      <c r="J32" s="82" t="s">
        <v>148</v>
      </c>
      <c r="M32" s="93"/>
    </row>
    <row r="33" spans="1:10" ht="12" customHeight="1" x14ac:dyDescent="0.25">
      <c r="A33" s="123"/>
      <c r="G33" s="84"/>
      <c r="H33" s="84" t="s">
        <v>83</v>
      </c>
      <c r="I33" s="93" t="str">
        <f>Berechnungen!F29</f>
        <v>nicht erfüllt</v>
      </c>
    </row>
    <row r="34" spans="1:10" s="72" customFormat="1" ht="6.95" customHeight="1" x14ac:dyDescent="0.25">
      <c r="A34" s="123"/>
      <c r="I34" s="73"/>
    </row>
    <row r="35" spans="1:10" ht="12" customHeight="1" x14ac:dyDescent="0.25">
      <c r="A35" s="90" t="s">
        <v>260</v>
      </c>
      <c r="B35" s="90"/>
      <c r="C35" s="91"/>
      <c r="D35" s="91"/>
      <c r="E35" s="91"/>
      <c r="F35" s="91"/>
      <c r="G35" s="90"/>
      <c r="H35" s="91"/>
      <c r="I35" s="91"/>
      <c r="J35" s="91"/>
    </row>
    <row r="36" spans="1:10" ht="12.95" customHeight="1" x14ac:dyDescent="0.25">
      <c r="A36" s="134" t="s">
        <v>262</v>
      </c>
      <c r="B36" s="75"/>
      <c r="C36" s="75"/>
      <c r="D36" s="75"/>
      <c r="E36" s="134"/>
      <c r="F36" s="96"/>
      <c r="G36" s="96"/>
      <c r="H36" s="134" t="s">
        <v>290</v>
      </c>
      <c r="I36" s="134"/>
      <c r="J36" s="75"/>
    </row>
    <row r="37" spans="1:10" s="127" customFormat="1" ht="9.9499999999999993" customHeight="1" x14ac:dyDescent="0.25">
      <c r="B37" s="129" t="s">
        <v>59</v>
      </c>
      <c r="C37" s="129" t="s">
        <v>60</v>
      </c>
      <c r="D37" s="129" t="s">
        <v>61</v>
      </c>
      <c r="E37" s="129" t="s">
        <v>62</v>
      </c>
      <c r="F37" s="129" t="s">
        <v>63</v>
      </c>
      <c r="G37" s="129" t="s">
        <v>65</v>
      </c>
      <c r="H37" s="129" t="s">
        <v>66</v>
      </c>
      <c r="I37" s="129" t="s">
        <v>61</v>
      </c>
      <c r="J37" s="129" t="s">
        <v>62</v>
      </c>
    </row>
    <row r="38" spans="1:10" ht="12.95" customHeight="1" x14ac:dyDescent="0.2">
      <c r="A38" s="78" t="s">
        <v>150</v>
      </c>
      <c r="B38" s="116" t="str">
        <f>IF(Form_Liste!B17=2,Form_Liste!C69,"0")</f>
        <v>0</v>
      </c>
      <c r="C38" s="116" t="str">
        <f>IF(Form_Liste!B17=2,Form_Liste!C70,"0")</f>
        <v>0</v>
      </c>
      <c r="D38" s="116" t="str">
        <f>IF(Form_Liste!B17=2,Form_Liste!C71,"0")</f>
        <v>0</v>
      </c>
      <c r="E38" s="116" t="str">
        <f>IF(Form_Liste!B17=2,Form_Liste!C72,"100")</f>
        <v>100</v>
      </c>
      <c r="F38" s="116" t="str">
        <f>IF(Form_Liste!B17=2,Form_Liste!C73,"0")</f>
        <v>0</v>
      </c>
      <c r="G38" s="116" t="str">
        <f>IF(Form_Liste!B17=2,Form_Liste!C74,"0")</f>
        <v>0</v>
      </c>
      <c r="H38" s="116" t="str">
        <f>IF(Form_Liste!B17=2,Form_Liste!C75,"0")</f>
        <v>0</v>
      </c>
      <c r="I38" s="109" t="str">
        <f>IF(D4="RC-Kiesgemisch B 0/45","Sollbereich 20 - 30",IF(D4="Kiesgemisch 0/45","",))</f>
        <v/>
      </c>
      <c r="J38" s="162" t="str">
        <f>IF(D4="Kiesgemisch 0/45","100%",IF(D4="RC-Kiesgemisch B 0/45",""))</f>
        <v>100%</v>
      </c>
    </row>
    <row r="39" spans="1:10" ht="12.95" customHeight="1" x14ac:dyDescent="0.25">
      <c r="A39" s="79" t="s">
        <v>151</v>
      </c>
      <c r="B39" s="150">
        <v>0</v>
      </c>
      <c r="C39" s="150">
        <v>0</v>
      </c>
      <c r="D39" s="150">
        <v>0</v>
      </c>
      <c r="E39" s="150">
        <v>100</v>
      </c>
      <c r="F39" s="150">
        <v>0</v>
      </c>
      <c r="G39" s="150">
        <v>0</v>
      </c>
      <c r="H39" s="150">
        <v>0</v>
      </c>
      <c r="I39" s="135" t="str">
        <f>IF(Form_Liste!B17=1,"-",IF(D39&gt;=20,IF(D39&lt;=30,"erfüllt","nicht erfüllt"),"nicht erfüllt"))</f>
        <v>-</v>
      </c>
      <c r="J39" s="135" t="str">
        <f>IF(Form_Liste!B17=2,"-",IF(B39=0,IF(C39=0,IF(D39=0,IF(E39=100,IF(F39=0,IF(G39=0,IF(H39=0,"erfüllt","nicht erf."),"nicht erf."),"nicht erf."),"nicht erf."),"nicht erf."),"nicht erf."),"nicht erf."))</f>
        <v>erfüllt</v>
      </c>
    </row>
    <row r="40" spans="1:10" s="127" customFormat="1" ht="9.9499999999999993" customHeight="1" x14ac:dyDescent="0.25">
      <c r="B40" s="128" t="s">
        <v>148</v>
      </c>
      <c r="C40" s="128" t="s">
        <v>148</v>
      </c>
      <c r="D40" s="128" t="s">
        <v>148</v>
      </c>
      <c r="E40" s="128" t="s">
        <v>148</v>
      </c>
      <c r="F40" s="128" t="s">
        <v>148</v>
      </c>
      <c r="G40" s="128" t="s">
        <v>148</v>
      </c>
      <c r="H40" s="128" t="s">
        <v>201</v>
      </c>
      <c r="I40" s="129"/>
      <c r="J40" s="129"/>
    </row>
    <row r="41" spans="1:10" s="72" customFormat="1" ht="8.1" customHeight="1" x14ac:dyDescent="0.25">
      <c r="A41" s="114"/>
      <c r="B41" s="114"/>
      <c r="D41" s="97"/>
      <c r="E41" s="82"/>
      <c r="F41" s="82"/>
      <c r="G41" s="83"/>
      <c r="H41" s="83"/>
      <c r="I41" s="126"/>
    </row>
    <row r="42" spans="1:10" ht="12.95" customHeight="1" x14ac:dyDescent="0.25">
      <c r="A42" s="106" t="s">
        <v>288</v>
      </c>
      <c r="B42" s="132"/>
      <c r="C42" s="132"/>
      <c r="D42" s="132"/>
      <c r="E42" s="132"/>
      <c r="F42" s="132"/>
      <c r="G42" s="132"/>
      <c r="H42" s="132"/>
      <c r="I42" s="133"/>
      <c r="J42" s="132"/>
    </row>
    <row r="43" spans="1:10" ht="12.95" customHeight="1" x14ac:dyDescent="0.25">
      <c r="A43" s="134" t="s">
        <v>247</v>
      </c>
      <c r="B43" s="75"/>
      <c r="C43" s="75"/>
      <c r="D43" s="75"/>
      <c r="E43" s="134"/>
      <c r="F43" s="96"/>
      <c r="G43" s="96"/>
      <c r="H43" s="134" t="s">
        <v>209</v>
      </c>
      <c r="I43" s="134"/>
      <c r="J43" s="75"/>
    </row>
    <row r="44" spans="1:10" s="82" customFormat="1" ht="12.95" customHeight="1" x14ac:dyDescent="0.25">
      <c r="D44" s="141"/>
      <c r="E44" s="177" t="s">
        <v>207</v>
      </c>
      <c r="F44" s="178"/>
      <c r="G44" s="177" t="s">
        <v>206</v>
      </c>
      <c r="H44" s="178"/>
      <c r="I44" s="93"/>
    </row>
    <row r="45" spans="1:10" s="82" customFormat="1" ht="12.95" customHeight="1" x14ac:dyDescent="0.25">
      <c r="A45" s="193" t="str">
        <f>IF(A46=Form_Liste!B82,Form_Liste!F82,IF(A46=Form_Liste!B83,Form_Liste!F83,IF(A46=Form_Liste!B84,Form_Liste!F84)))</f>
        <v>Prüfung immer erforderlich</v>
      </c>
      <c r="B45" s="193"/>
      <c r="C45" s="193"/>
      <c r="D45" s="142" t="s">
        <v>243</v>
      </c>
      <c r="E45" s="140" t="s">
        <v>246</v>
      </c>
      <c r="F45" s="142" t="s">
        <v>151</v>
      </c>
      <c r="G45" s="140" t="s">
        <v>234</v>
      </c>
      <c r="H45" s="142" t="s">
        <v>151</v>
      </c>
      <c r="I45" s="140" t="str">
        <f>IF(F46="-","-","")</f>
        <v/>
      </c>
      <c r="J45" s="78"/>
    </row>
    <row r="46" spans="1:10" s="82" customFormat="1" ht="12.95" customHeight="1" x14ac:dyDescent="0.25">
      <c r="A46" s="176" t="s">
        <v>77</v>
      </c>
      <c r="B46" s="176"/>
      <c r="C46" s="176"/>
      <c r="D46" s="110" t="str">
        <f>IF(A46=Form_Liste!B82,Form_Liste!C82,IF(A46=Form_Liste!B83,Form_Liste!C83,IF(A46=Form_Liste!B84,Form_Liste!C84)))</f>
        <v>Anh.3 Zi2</v>
      </c>
      <c r="E46" s="110">
        <f>IF(A46=Form_Liste!B82,Form_Liste!D82,IF(A46=Form_Liste!B83,Form_Liste!D83,IF(A46=Form_Liste!B84,Form_Liste!D84)))</f>
        <v>12.5</v>
      </c>
      <c r="F46" s="151"/>
      <c r="G46" s="135">
        <f>IF(A46=Form_Liste!B82,Form_Liste!E82,IF(A46=Form_Liste!B83,Form_Liste!E83,IF(A46=Form_Liste!B84,Form_Liste!E84)))</f>
        <v>1.5</v>
      </c>
      <c r="H46" s="152"/>
      <c r="I46" s="145" t="str">
        <f>IF(F46="-","-",IF(H46="-","-",IF(F46="","nicht erfüllt",IF(H46="","nicht erfüllt",IF(F46&lt;=E46,IF(H46&lt;=G46,"erfüllt","nicht erfüllt"),"nicht erfüllt")))))</f>
        <v>nicht erfüllt</v>
      </c>
      <c r="J46" s="79" t="s">
        <v>257</v>
      </c>
    </row>
    <row r="47" spans="1:10" s="72" customFormat="1" ht="8.1" customHeight="1" x14ac:dyDescent="0.25">
      <c r="A47" s="114"/>
      <c r="B47" s="114"/>
      <c r="D47" s="97"/>
      <c r="E47" s="82"/>
      <c r="F47" s="82"/>
      <c r="G47" s="83"/>
      <c r="H47" s="83"/>
      <c r="I47" s="126"/>
    </row>
    <row r="48" spans="1:10" ht="12" customHeight="1" x14ac:dyDescent="0.25">
      <c r="A48" s="106" t="s">
        <v>242</v>
      </c>
      <c r="B48" s="106"/>
      <c r="C48" s="107"/>
      <c r="D48" s="107"/>
      <c r="E48" s="107"/>
      <c r="F48" s="107"/>
      <c r="G48" s="107"/>
      <c r="H48" s="107"/>
      <c r="I48" s="130" t="s">
        <v>218</v>
      </c>
      <c r="J48" s="124"/>
    </row>
    <row r="49" spans="1:10" ht="14.1" customHeight="1" x14ac:dyDescent="0.25">
      <c r="A49" s="175"/>
      <c r="B49" s="175"/>
      <c r="C49" s="175"/>
      <c r="D49" s="119"/>
      <c r="E49" s="96"/>
      <c r="F49" s="75"/>
      <c r="G49" s="96" t="s">
        <v>220</v>
      </c>
      <c r="H49" s="76" t="s">
        <v>225</v>
      </c>
      <c r="I49" s="76" t="s">
        <v>85</v>
      </c>
      <c r="J49" s="120" t="s">
        <v>111</v>
      </c>
    </row>
    <row r="50" spans="1:10" s="127" customFormat="1" ht="9.9499999999999993" customHeight="1" x14ac:dyDescent="0.25">
      <c r="B50" s="129"/>
      <c r="C50" s="129" t="s">
        <v>225</v>
      </c>
      <c r="D50" s="129"/>
      <c r="E50" s="129"/>
      <c r="F50" s="129"/>
      <c r="G50" s="129"/>
      <c r="H50" s="129"/>
      <c r="I50" s="129"/>
      <c r="J50" s="129"/>
    </row>
    <row r="51" spans="1:10" ht="12.95" customHeight="1" x14ac:dyDescent="0.25">
      <c r="A51" s="79" t="s">
        <v>222</v>
      </c>
      <c r="B51" s="153">
        <v>2</v>
      </c>
      <c r="C51" s="135" t="s">
        <v>221</v>
      </c>
      <c r="D51" s="81"/>
      <c r="E51" s="79"/>
      <c r="F51" s="89" t="s">
        <v>174</v>
      </c>
      <c r="G51" s="79" t="s">
        <v>219</v>
      </c>
      <c r="H51" s="135" t="s">
        <v>221</v>
      </c>
      <c r="I51" s="111">
        <f>IF(B51&lt;B52,B51,B52)</f>
        <v>2</v>
      </c>
      <c r="J51" s="79" t="s">
        <v>173</v>
      </c>
    </row>
    <row r="52" spans="1:10" ht="12.95" customHeight="1" x14ac:dyDescent="0.25">
      <c r="A52" s="79" t="s">
        <v>223</v>
      </c>
      <c r="B52" s="153">
        <v>3</v>
      </c>
      <c r="C52" s="135" t="s">
        <v>221</v>
      </c>
      <c r="D52" s="81"/>
      <c r="E52" s="81"/>
      <c r="F52" s="89" t="s">
        <v>175</v>
      </c>
      <c r="G52" s="79" t="s">
        <v>169</v>
      </c>
      <c r="H52" s="135" t="s">
        <v>238</v>
      </c>
      <c r="I52" s="110">
        <f>IF(ISNUMBER(B51),ROUND(B52/B51,1),Form_Liste!E46)</f>
        <v>1.5</v>
      </c>
      <c r="J52" s="79" t="s">
        <v>146</v>
      </c>
    </row>
    <row r="53" spans="1:10" ht="12.95" customHeight="1" x14ac:dyDescent="0.25">
      <c r="A53" s="79" t="s">
        <v>224</v>
      </c>
      <c r="B53" s="153">
        <v>4</v>
      </c>
      <c r="C53" s="135" t="s">
        <v>221</v>
      </c>
      <c r="D53" s="81"/>
      <c r="E53" s="81"/>
      <c r="F53" s="89" t="s">
        <v>176</v>
      </c>
      <c r="G53" s="79" t="s">
        <v>170</v>
      </c>
      <c r="H53" s="135" t="s">
        <v>238</v>
      </c>
      <c r="I53" s="110">
        <f>IF(ISNUMBER(B53),ROUND(B53/B51,1),IF(Form_Liste!B17=1,Form_Liste!E46,IF(Form_Liste!B17=2,Form_Liste!F46)))</f>
        <v>2</v>
      </c>
      <c r="J53" s="79" t="s">
        <v>146</v>
      </c>
    </row>
    <row r="54" spans="1:10" s="72" customFormat="1" ht="8.1" customHeight="1" x14ac:dyDescent="0.25">
      <c r="A54" s="123"/>
      <c r="I54" s="73"/>
    </row>
    <row r="55" spans="1:10" ht="12.95" customHeight="1" x14ac:dyDescent="0.25">
      <c r="A55" s="79" t="s">
        <v>237</v>
      </c>
      <c r="B55" s="81"/>
      <c r="C55" s="79"/>
      <c r="D55" s="79"/>
      <c r="E55" s="79"/>
      <c r="F55" s="81"/>
      <c r="G55" s="79" t="s">
        <v>27</v>
      </c>
      <c r="H55" s="79"/>
      <c r="I55" s="154">
        <v>1.4999999999999999E-13</v>
      </c>
      <c r="J55" s="79" t="s">
        <v>240</v>
      </c>
    </row>
    <row r="56" spans="1:10" ht="12.95" customHeight="1" x14ac:dyDescent="0.25">
      <c r="A56" s="79" t="s">
        <v>239</v>
      </c>
      <c r="B56" s="81"/>
      <c r="C56" s="79"/>
      <c r="D56" s="79"/>
      <c r="E56" s="79"/>
      <c r="F56" s="81"/>
      <c r="G56" s="79" t="s">
        <v>27</v>
      </c>
      <c r="H56" s="79"/>
      <c r="I56" s="153">
        <v>9999</v>
      </c>
      <c r="J56" s="79" t="s">
        <v>147</v>
      </c>
    </row>
    <row r="57" spans="1:10" ht="12.95" customHeight="1" x14ac:dyDescent="0.25">
      <c r="A57" s="79" t="s">
        <v>171</v>
      </c>
      <c r="B57" s="81"/>
      <c r="C57" s="79"/>
      <c r="D57" s="79"/>
      <c r="E57" s="79"/>
      <c r="F57" s="81"/>
      <c r="G57" s="79" t="s">
        <v>27</v>
      </c>
      <c r="H57" s="79"/>
      <c r="I57" s="150">
        <v>99.1</v>
      </c>
      <c r="J57" s="79" t="s">
        <v>148</v>
      </c>
    </row>
    <row r="58" spans="1:10" ht="12.95" customHeight="1" x14ac:dyDescent="0.25">
      <c r="A58" s="82" t="s">
        <v>138</v>
      </c>
      <c r="B58" s="82"/>
      <c r="C58" s="82"/>
      <c r="D58" s="83"/>
      <c r="E58" s="83"/>
      <c r="G58" s="82" t="s">
        <v>100</v>
      </c>
      <c r="H58" s="82"/>
      <c r="I58" s="155" t="s">
        <v>101</v>
      </c>
      <c r="J58" s="84" t="s">
        <v>113</v>
      </c>
    </row>
    <row r="59" spans="1:10" ht="12.95" customHeight="1" x14ac:dyDescent="0.25">
      <c r="A59" s="86" t="s">
        <v>87</v>
      </c>
      <c r="B59" s="86"/>
      <c r="C59" s="86"/>
      <c r="D59" s="87"/>
      <c r="E59" s="87"/>
      <c r="F59" s="88"/>
      <c r="G59" s="86" t="s">
        <v>130</v>
      </c>
      <c r="H59" s="86"/>
      <c r="I59" s="155" t="s">
        <v>101</v>
      </c>
      <c r="J59" s="122" t="s">
        <v>113</v>
      </c>
    </row>
    <row r="60" spans="1:10" ht="12.95" customHeight="1" x14ac:dyDescent="0.25">
      <c r="A60" s="79" t="s">
        <v>84</v>
      </c>
      <c r="B60" s="79"/>
      <c r="C60" s="79"/>
      <c r="D60" s="85"/>
      <c r="E60" s="85"/>
      <c r="F60" s="81"/>
      <c r="G60" s="79" t="s">
        <v>27</v>
      </c>
      <c r="H60" s="79"/>
      <c r="I60" s="155" t="s">
        <v>165</v>
      </c>
      <c r="J60" s="121" t="s">
        <v>113</v>
      </c>
    </row>
    <row r="61" spans="1:10" ht="12.95" customHeight="1" x14ac:dyDescent="0.25">
      <c r="A61" s="79" t="s">
        <v>235</v>
      </c>
      <c r="B61" s="79"/>
      <c r="C61" s="79"/>
      <c r="D61" s="80"/>
      <c r="E61" s="80"/>
      <c r="F61" s="81"/>
      <c r="G61" s="79" t="s">
        <v>27</v>
      </c>
      <c r="H61" s="79"/>
      <c r="I61" s="155" t="s">
        <v>101</v>
      </c>
      <c r="J61" s="121"/>
    </row>
    <row r="62" spans="1:10" ht="12.95" customHeight="1" x14ac:dyDescent="0.25">
      <c r="A62" s="82" t="s">
        <v>241</v>
      </c>
      <c r="B62" s="82"/>
      <c r="C62" s="82"/>
      <c r="D62" s="83"/>
      <c r="E62" s="83"/>
      <c r="G62" s="82" t="s">
        <v>27</v>
      </c>
      <c r="H62" s="82"/>
      <c r="I62" s="155" t="s">
        <v>101</v>
      </c>
      <c r="J62" s="84"/>
    </row>
    <row r="63" spans="1:10" ht="12.95" customHeight="1" x14ac:dyDescent="0.25">
      <c r="A63" s="86" t="s">
        <v>236</v>
      </c>
      <c r="B63" s="86"/>
      <c r="C63" s="86"/>
      <c r="D63" s="87"/>
      <c r="E63" s="87"/>
      <c r="F63" s="88"/>
      <c r="G63" s="86" t="s">
        <v>27</v>
      </c>
      <c r="H63" s="86"/>
      <c r="I63" s="155" t="s">
        <v>261</v>
      </c>
      <c r="J63" s="122" t="s">
        <v>113</v>
      </c>
    </row>
    <row r="64" spans="1:10" s="72" customFormat="1" ht="8.1" customHeight="1" x14ac:dyDescent="0.25">
      <c r="A64" s="123"/>
      <c r="I64" s="73"/>
    </row>
    <row r="65" spans="1:10" ht="14.1" customHeight="1" x14ac:dyDescent="0.25">
      <c r="A65" s="143" t="s">
        <v>210</v>
      </c>
      <c r="B65" s="112"/>
      <c r="D65" s="97" t="s">
        <v>98</v>
      </c>
      <c r="E65" s="188" t="s">
        <v>266</v>
      </c>
      <c r="F65" s="188"/>
      <c r="H65" s="144" t="s">
        <v>248</v>
      </c>
      <c r="I65" s="84"/>
      <c r="J65" s="94"/>
    </row>
    <row r="66" spans="1:10" ht="14.1" customHeight="1" x14ac:dyDescent="0.25">
      <c r="A66" s="156"/>
      <c r="B66" s="156"/>
      <c r="D66" s="97" t="s">
        <v>249</v>
      </c>
      <c r="E66" s="189"/>
      <c r="F66" s="189"/>
      <c r="G66" s="190"/>
      <c r="H66" s="179"/>
      <c r="I66" s="180"/>
      <c r="J66" s="181"/>
    </row>
    <row r="67" spans="1:10" ht="14.1" customHeight="1" x14ac:dyDescent="0.2">
      <c r="B67" s="1"/>
      <c r="C67" s="1"/>
      <c r="D67" s="97" t="s">
        <v>194</v>
      </c>
      <c r="E67" s="191"/>
      <c r="F67" s="191"/>
      <c r="G67" s="192"/>
      <c r="H67" s="182"/>
      <c r="I67" s="183"/>
      <c r="J67" s="184"/>
    </row>
    <row r="68" spans="1:10" ht="14.1" customHeight="1" x14ac:dyDescent="0.25">
      <c r="D68" s="84" t="s">
        <v>250</v>
      </c>
      <c r="F68" s="146"/>
      <c r="G68" s="146"/>
      <c r="H68" s="185"/>
      <c r="I68" s="186"/>
      <c r="J68" s="187"/>
    </row>
  </sheetData>
  <sheetProtection algorithmName="SHA-512" hashValue="gOiRtemdhbFCrBLY6ZQpTPKDTiN8t7DhnUyuCKtyOb5A8xsuWhthO18tHEW7iCIFomIj+YBWh/XzWZv5V3Kdgg==" saltValue="i++wJDoDnLdrK3WBOop56g==" spinCount="100000" sheet="1" selectLockedCells="1"/>
  <mergeCells count="21">
    <mergeCell ref="A49:C49"/>
    <mergeCell ref="A46:C46"/>
    <mergeCell ref="E44:F44"/>
    <mergeCell ref="G44:H44"/>
    <mergeCell ref="H66:J68"/>
    <mergeCell ref="E65:F65"/>
    <mergeCell ref="E66:G66"/>
    <mergeCell ref="E67:G67"/>
    <mergeCell ref="A45:C45"/>
    <mergeCell ref="E1:J1"/>
    <mergeCell ref="I2:J5"/>
    <mergeCell ref="B7:F7"/>
    <mergeCell ref="D9:G9"/>
    <mergeCell ref="I9:J9"/>
    <mergeCell ref="I11:J11"/>
    <mergeCell ref="I13:J13"/>
    <mergeCell ref="D11:G11"/>
    <mergeCell ref="D13:G13"/>
    <mergeCell ref="A2:C5"/>
    <mergeCell ref="D2:H3"/>
    <mergeCell ref="D4:H5"/>
  </mergeCells>
  <dataValidations count="1">
    <dataValidation type="list" allowBlank="1" showInputMessage="1" showErrorMessage="1" sqref="J7" xr:uid="{00000000-0002-0000-0000-000000000000}">
      <formula1>Zertifizierung</formula1>
    </dataValidation>
  </dataValidations>
  <pageMargins left="0.78740157480314965" right="0.19685039370078741" top="0.23622047244094491" bottom="0.23622047244094491" header="0.15748031496062992" footer="0.15748031496062992"/>
  <pageSetup paperSize="9" scale="99" orientation="portrait" r:id="rId1"/>
  <headerFooter>
    <oddFooter>&amp;L&amp;"Arial,Standard"&amp;8&amp;F&amp;R&amp;"Arial,Standard"&amp;8Seite 1 von 1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8" r:id="rId4" name="Option Button 24">
              <controlPr defaultSize="0" autoFill="0" autoLine="0" autoPict="0">
                <anchor moveWithCells="1">
                  <from>
                    <xdr:col>0</xdr:col>
                    <xdr:colOff>9525</xdr:colOff>
                    <xdr:row>64</xdr:row>
                    <xdr:rowOff>114300</xdr:rowOff>
                  </from>
                  <to>
                    <xdr:col>1</xdr:col>
                    <xdr:colOff>9525</xdr:colOff>
                    <xdr:row>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5" name="Option Button 25">
              <controlPr defaultSize="0" autoFill="0" autoLine="0" autoPict="0">
                <anchor moveWithCells="1">
                  <from>
                    <xdr:col>0</xdr:col>
                    <xdr:colOff>495300</xdr:colOff>
                    <xdr:row>64</xdr:row>
                    <xdr:rowOff>85725</xdr:rowOff>
                  </from>
                  <to>
                    <xdr:col>1</xdr:col>
                    <xdr:colOff>466725</xdr:colOff>
                    <xdr:row>66</xdr:row>
                    <xdr:rowOff>9525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 xr:uid="{00000000-0002-0000-0000-000001000000}">
          <x14:formula1>
            <xm:f>Form_Liste!$E$32:$I$32</xm:f>
          </x14:formula1>
          <xm:sqref>I63</xm:sqref>
        </x14:dataValidation>
        <x14:dataValidation type="list" allowBlank="1" showInputMessage="1" showErrorMessage="1" xr:uid="{00000000-0002-0000-0000-000002000000}">
          <x14:formula1>
            <xm:f>Form_Liste!$E$33:$F$33</xm:f>
          </x14:formula1>
          <xm:sqref>I61</xm:sqref>
        </x14:dataValidation>
        <x14:dataValidation type="list" allowBlank="1" showInputMessage="1" showErrorMessage="1" xr:uid="{00000000-0002-0000-0000-000003000000}">
          <x14:formula1>
            <xm:f>Form_Liste!$E$30:$G$30</xm:f>
          </x14:formula1>
          <xm:sqref>I62</xm:sqref>
        </x14:dataValidation>
        <x14:dataValidation type="list" allowBlank="1" showInputMessage="1" showErrorMessage="1" xr:uid="{00000000-0002-0000-0000-000004000000}">
          <x14:formula1>
            <xm:f>Form_Liste!$E$31:$J$31</xm:f>
          </x14:formula1>
          <xm:sqref>I59</xm:sqref>
        </x14:dataValidation>
        <x14:dataValidation type="list" allowBlank="1" showInputMessage="1" showErrorMessage="1" xr:uid="{00000000-0002-0000-0000-000005000000}">
          <x14:formula1>
            <xm:f>Form_Liste!$E$27:$G$27</xm:f>
          </x14:formula1>
          <xm:sqref>I58</xm:sqref>
        </x14:dataValidation>
        <x14:dataValidation type="list" allowBlank="1" showInputMessage="1" xr:uid="{00000000-0002-0000-0000-000006000000}">
          <x14:formula1>
            <xm:f>Form_Liste!$E$28:$J$28</xm:f>
          </x14:formula1>
          <xm:sqref>I60</xm:sqref>
        </x14:dataValidation>
        <x14:dataValidation type="list" allowBlank="1" showInputMessage="1" showErrorMessage="1" xr:uid="{00000000-0002-0000-0000-000008000000}">
          <x14:formula1>
            <xm:f>Form_Liste!$B$82:$B$84</xm:f>
          </x14:formula1>
          <xm:sqref>A46</xm:sqref>
        </x14:dataValidation>
        <x14:dataValidation type="list" allowBlank="1" showInputMessage="1" showErrorMessage="1" xr:uid="{00000000-0002-0000-0000-000009000000}">
          <x14:formula1>
            <xm:f>Form_Liste!$D$27:$G$27</xm:f>
          </x14:formula1>
          <xm:sqref>M56</xm:sqref>
        </x14:dataValidation>
        <x14:dataValidation type="list" allowBlank="1" showInputMessage="1" showErrorMessage="1" xr:uid="{00000000-0002-0000-0000-000007000000}">
          <x14:formula1>
            <xm:f>Form_Liste!$A$18:$A$20</xm:f>
          </x14:formula1>
          <xm:sqref>D4</xm:sqref>
        </x14:dataValidation>
        <x14:dataValidation type="list" allowBlank="1" showInputMessage="1" xr:uid="{1124C8FB-0242-48B2-9320-08E321C90DBB}">
          <x14:formula1>
            <xm:f>Form_Liste!$G$11:$G$15</xm:f>
          </x14:formula1>
          <xm:sqref>D13:G13</xm:sqref>
        </x14:dataValidation>
        <x14:dataValidation type="list" allowBlank="1" showInputMessage="1" showErrorMessage="1" xr:uid="{00000000-0002-0000-0000-00000A000000}">
          <x14:formula1>
            <xm:f>Form_Liste!A12:A14</xm:f>
          </x14:formula1>
          <xm:sqref>D2:H3</xm:sqref>
        </x14:dataValidation>
        <x14:dataValidation type="list" allowBlank="1" showInputMessage="1" xr:uid="{12749C71-4AA8-4C52-A1BF-1A2337A4F0C9}">
          <x14:formula1>
            <xm:f>Form_Liste!$E$11:$E$17</xm:f>
          </x14:formula1>
          <xm:sqref>D11:G11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O84"/>
  <sheetViews>
    <sheetView zoomScale="115" zoomScaleNormal="115" workbookViewId="0">
      <selection activeCell="F20" sqref="F20"/>
    </sheetView>
  </sheetViews>
  <sheetFormatPr baseColWidth="10" defaultColWidth="27.28515625" defaultRowHeight="12" x14ac:dyDescent="0.2"/>
  <cols>
    <col min="1" max="1" width="30.7109375" style="1" customWidth="1"/>
    <col min="2" max="2" width="25.7109375" style="1" customWidth="1"/>
    <col min="3" max="3" width="20.7109375" style="1" customWidth="1"/>
    <col min="4" max="4" width="14.140625" style="1" customWidth="1"/>
    <col min="5" max="6" width="22.28515625" style="1" customWidth="1"/>
    <col min="7" max="8" width="14.140625" style="1" customWidth="1"/>
    <col min="9" max="9" width="9.28515625" style="1" customWidth="1"/>
    <col min="10" max="11" width="10.5703125" style="1" customWidth="1"/>
    <col min="12" max="12" width="9.28515625" style="1" customWidth="1"/>
    <col min="13" max="15" width="8.7109375" style="1" customWidth="1"/>
    <col min="16" max="17" width="9.7109375" style="1" customWidth="1"/>
    <col min="18" max="16384" width="27.28515625" style="1"/>
  </cols>
  <sheetData>
    <row r="1" spans="1:7" x14ac:dyDescent="0.2">
      <c r="A1" s="194" t="s">
        <v>191</v>
      </c>
      <c r="B1" s="195"/>
      <c r="C1" s="196"/>
    </row>
    <row r="2" spans="1:7" ht="15" customHeight="1" x14ac:dyDescent="0.2">
      <c r="A2" s="101" t="s">
        <v>189</v>
      </c>
      <c r="B2" s="118" t="s">
        <v>190</v>
      </c>
      <c r="C2" s="98" t="s">
        <v>188</v>
      </c>
      <c r="D2" s="116" t="s">
        <v>192</v>
      </c>
      <c r="E2" s="116" t="str">
        <f>IF('Form_0-45'!I7=Form_Liste!E5,"SÜGB","SÜGB")</f>
        <v>SÜGB</v>
      </c>
      <c r="F2" s="116" t="str">
        <f>IF('Form_0-45'!I7=Form_Liste!F5,"SCERT","SCERT")</f>
        <v>SCERT</v>
      </c>
    </row>
    <row r="3" spans="1:7" ht="60" customHeight="1" x14ac:dyDescent="0.2">
      <c r="A3" s="99"/>
      <c r="B3" s="102"/>
      <c r="C3" s="99"/>
      <c r="D3" s="117"/>
    </row>
    <row r="4" spans="1:7" ht="35.1" customHeight="1" x14ac:dyDescent="0.2">
      <c r="A4" s="105" t="s">
        <v>199</v>
      </c>
      <c r="B4" s="104" t="s">
        <v>195</v>
      </c>
      <c r="C4" s="105" t="s">
        <v>200</v>
      </c>
      <c r="D4" s="117"/>
    </row>
    <row r="5" spans="1:7" ht="15" customHeight="1" x14ac:dyDescent="0.2">
      <c r="A5" s="100"/>
      <c r="B5" s="103"/>
      <c r="C5" s="100"/>
      <c r="D5" s="117" t="s">
        <v>198</v>
      </c>
      <c r="E5" s="116" t="s">
        <v>196</v>
      </c>
      <c r="F5" s="116" t="s">
        <v>197</v>
      </c>
    </row>
    <row r="6" spans="1:7" ht="15" customHeight="1" x14ac:dyDescent="0.2">
      <c r="A6" s="100"/>
      <c r="B6" s="100"/>
      <c r="C6" s="100"/>
    </row>
    <row r="7" spans="1:7" ht="15" customHeight="1" x14ac:dyDescent="0.2">
      <c r="A7" s="101"/>
      <c r="B7" s="101"/>
      <c r="C7" s="101"/>
    </row>
    <row r="10" spans="1:7" x14ac:dyDescent="0.2">
      <c r="B10" s="1" t="s">
        <v>184</v>
      </c>
      <c r="E10" s="1" t="s">
        <v>268</v>
      </c>
      <c r="G10" s="1" t="s">
        <v>267</v>
      </c>
    </row>
    <row r="11" spans="1:7" ht="18.75" x14ac:dyDescent="0.3">
      <c r="A11" s="64" t="s">
        <v>204</v>
      </c>
      <c r="B11" s="1">
        <f>INDEX(B12:B14,MATCH('Form_0-45'!D2,A12:A14,0))</f>
        <v>3</v>
      </c>
      <c r="C11" s="1">
        <f>IF(B11=1," ",1)</f>
        <v>1</v>
      </c>
      <c r="E11" s="68" t="s">
        <v>274</v>
      </c>
      <c r="G11" s="68" t="s">
        <v>272</v>
      </c>
    </row>
    <row r="12" spans="1:7" ht="18.75" x14ac:dyDescent="0.3">
      <c r="A12" s="68" t="s">
        <v>263</v>
      </c>
      <c r="B12" s="1">
        <v>1</v>
      </c>
      <c r="E12" s="68" t="s">
        <v>275</v>
      </c>
      <c r="G12" s="68" t="s">
        <v>273</v>
      </c>
    </row>
    <row r="13" spans="1:7" ht="18.75" x14ac:dyDescent="0.3">
      <c r="A13" s="68" t="s">
        <v>291</v>
      </c>
      <c r="B13" s="1">
        <v>2</v>
      </c>
      <c r="E13" s="68" t="s">
        <v>282</v>
      </c>
      <c r="G13" s="68" t="s">
        <v>269</v>
      </c>
    </row>
    <row r="14" spans="1:7" ht="18.75" x14ac:dyDescent="0.3">
      <c r="A14" s="68" t="s">
        <v>203</v>
      </c>
      <c r="B14" s="1">
        <v>3</v>
      </c>
      <c r="E14" s="68" t="s">
        <v>281</v>
      </c>
      <c r="G14" s="68" t="s">
        <v>271</v>
      </c>
    </row>
    <row r="15" spans="1:7" ht="18.75" x14ac:dyDescent="0.3">
      <c r="E15" s="68" t="s">
        <v>276</v>
      </c>
    </row>
    <row r="16" spans="1:7" ht="18.75" x14ac:dyDescent="0.3">
      <c r="B16" s="1" t="s">
        <v>184</v>
      </c>
      <c r="E16" s="68" t="s">
        <v>277</v>
      </c>
    </row>
    <row r="17" spans="1:11" ht="18.75" x14ac:dyDescent="0.3">
      <c r="A17" s="64" t="s">
        <v>8</v>
      </c>
      <c r="B17" s="1">
        <f>INDEX(B18:B20,MATCH('Form_0-45'!D4,A18:A20,0))</f>
        <v>1</v>
      </c>
      <c r="C17" s="1" t="str">
        <f>IF(B17=1," ",1)</f>
        <v xml:space="preserve"> </v>
      </c>
      <c r="F17" s="68"/>
    </row>
    <row r="18" spans="1:11" ht="18.75" x14ac:dyDescent="0.3">
      <c r="A18" s="68" t="s">
        <v>136</v>
      </c>
      <c r="B18" s="1">
        <v>1</v>
      </c>
    </row>
    <row r="19" spans="1:11" ht="18.75" x14ac:dyDescent="0.3">
      <c r="A19" s="68" t="s">
        <v>137</v>
      </c>
      <c r="B19" s="1">
        <v>2</v>
      </c>
    </row>
    <row r="20" spans="1:11" ht="18.75" x14ac:dyDescent="0.3">
      <c r="A20" s="68" t="s">
        <v>211</v>
      </c>
      <c r="B20" s="1">
        <v>3</v>
      </c>
    </row>
    <row r="22" spans="1:11" ht="30" customHeight="1" x14ac:dyDescent="0.2">
      <c r="A22" s="2" t="s">
        <v>18</v>
      </c>
      <c r="C22" s="2" t="s">
        <v>0</v>
      </c>
      <c r="E22" s="2" t="s">
        <v>0</v>
      </c>
    </row>
    <row r="23" spans="1:11" ht="15" customHeight="1" x14ac:dyDescent="0.2">
      <c r="C23" s="1" t="s">
        <v>26</v>
      </c>
      <c r="E23" s="1" t="s">
        <v>30</v>
      </c>
    </row>
    <row r="24" spans="1:11" ht="20.100000000000001" customHeight="1" x14ac:dyDescent="0.2">
      <c r="A24" s="1" t="s">
        <v>1</v>
      </c>
      <c r="C24" s="1" t="s">
        <v>14</v>
      </c>
    </row>
    <row r="25" spans="1:11" ht="20.100000000000001" customHeight="1" x14ac:dyDescent="0.2">
      <c r="A25" s="1" t="s">
        <v>2</v>
      </c>
      <c r="C25" s="1" t="s">
        <v>15</v>
      </c>
    </row>
    <row r="26" spans="1:11" ht="20.100000000000001" customHeight="1" x14ac:dyDescent="0.25">
      <c r="A26" s="1" t="s">
        <v>80</v>
      </c>
      <c r="C26" s="1" t="s">
        <v>16</v>
      </c>
      <c r="E26" s="1" t="s">
        <v>112</v>
      </c>
      <c r="F26" s="1" t="s">
        <v>101</v>
      </c>
    </row>
    <row r="27" spans="1:11" ht="20.100000000000001" customHeight="1" x14ac:dyDescent="0.25">
      <c r="A27" s="1" t="s">
        <v>3</v>
      </c>
      <c r="B27" s="65" t="s">
        <v>99</v>
      </c>
      <c r="C27" s="1" t="s">
        <v>17</v>
      </c>
      <c r="D27" s="1" t="s">
        <v>89</v>
      </c>
      <c r="E27" s="1" t="s">
        <v>124</v>
      </c>
      <c r="F27" s="1" t="s">
        <v>125</v>
      </c>
      <c r="G27" s="1" t="s">
        <v>101</v>
      </c>
      <c r="H27" s="1" t="s">
        <v>110</v>
      </c>
    </row>
    <row r="28" spans="1:11" ht="20.100000000000001" customHeight="1" x14ac:dyDescent="0.25">
      <c r="A28" s="1" t="s">
        <v>84</v>
      </c>
      <c r="B28" s="67" t="s">
        <v>102</v>
      </c>
      <c r="C28" s="1" t="s">
        <v>27</v>
      </c>
      <c r="D28" s="1" t="s">
        <v>86</v>
      </c>
      <c r="E28" s="1" t="s">
        <v>119</v>
      </c>
      <c r="F28" s="1" t="s">
        <v>120</v>
      </c>
      <c r="G28" s="1" t="s">
        <v>121</v>
      </c>
      <c r="H28" s="1" t="s">
        <v>122</v>
      </c>
      <c r="I28" s="1" t="s">
        <v>123</v>
      </c>
      <c r="J28" s="1" t="s">
        <v>165</v>
      </c>
      <c r="K28" s="1" t="s">
        <v>110</v>
      </c>
    </row>
    <row r="29" spans="1:11" ht="20.100000000000001" customHeight="1" x14ac:dyDescent="0.25">
      <c r="A29" s="1" t="s">
        <v>4</v>
      </c>
      <c r="C29" s="1" t="s">
        <v>27</v>
      </c>
      <c r="D29" s="1" t="s">
        <v>94</v>
      </c>
      <c r="E29" s="1" t="s">
        <v>114</v>
      </c>
      <c r="F29" s="1" t="s">
        <v>115</v>
      </c>
      <c r="G29" s="1" t="s">
        <v>116</v>
      </c>
      <c r="H29" s="1" t="s">
        <v>117</v>
      </c>
      <c r="I29" s="1" t="s">
        <v>118</v>
      </c>
      <c r="J29" s="1" t="s">
        <v>101</v>
      </c>
      <c r="K29" s="1" t="s">
        <v>110</v>
      </c>
    </row>
    <row r="30" spans="1:11" ht="20.100000000000001" customHeight="1" x14ac:dyDescent="0.2">
      <c r="A30" s="1" t="s">
        <v>5</v>
      </c>
      <c r="C30" s="1" t="s">
        <v>27</v>
      </c>
      <c r="D30" s="1" t="s">
        <v>103</v>
      </c>
      <c r="E30" s="1" t="s">
        <v>139</v>
      </c>
      <c r="F30" s="1" t="s">
        <v>140</v>
      </c>
      <c r="G30" s="1" t="s">
        <v>101</v>
      </c>
      <c r="H30" s="1" t="s">
        <v>110</v>
      </c>
    </row>
    <row r="31" spans="1:11" ht="20.100000000000001" customHeight="1" x14ac:dyDescent="0.25">
      <c r="A31" s="1" t="s">
        <v>87</v>
      </c>
      <c r="B31" s="1" t="s">
        <v>104</v>
      </c>
      <c r="C31" s="1" t="s">
        <v>27</v>
      </c>
      <c r="D31" s="1" t="s">
        <v>88</v>
      </c>
      <c r="E31" s="1" t="s">
        <v>126</v>
      </c>
      <c r="F31" s="1" t="s">
        <v>127</v>
      </c>
      <c r="G31" s="1" t="s">
        <v>128</v>
      </c>
      <c r="H31" s="1" t="s">
        <v>129</v>
      </c>
      <c r="I31" s="1" t="s">
        <v>130</v>
      </c>
      <c r="J31" s="1" t="s">
        <v>101</v>
      </c>
      <c r="K31" s="1" t="s">
        <v>110</v>
      </c>
    </row>
    <row r="32" spans="1:11" ht="20.100000000000001" customHeight="1" x14ac:dyDescent="0.2">
      <c r="A32" s="1" t="s">
        <v>6</v>
      </c>
      <c r="C32" s="1" t="s">
        <v>27</v>
      </c>
      <c r="D32" s="66" t="s">
        <v>105</v>
      </c>
      <c r="E32" s="1" t="s">
        <v>141</v>
      </c>
      <c r="F32" s="1" t="s">
        <v>142</v>
      </c>
      <c r="G32" s="1" t="s">
        <v>143</v>
      </c>
      <c r="H32" s="1" t="s">
        <v>144</v>
      </c>
      <c r="I32" s="1" t="s">
        <v>261</v>
      </c>
      <c r="J32" s="1" t="s">
        <v>110</v>
      </c>
    </row>
    <row r="33" spans="1:15" ht="20.100000000000001" customHeight="1" x14ac:dyDescent="0.2">
      <c r="A33" s="1" t="s">
        <v>7</v>
      </c>
      <c r="C33" s="1" t="s">
        <v>27</v>
      </c>
      <c r="E33" s="1" t="s">
        <v>145</v>
      </c>
      <c r="F33" s="1" t="s">
        <v>101</v>
      </c>
      <c r="G33" s="1" t="s">
        <v>110</v>
      </c>
    </row>
    <row r="34" spans="1:15" ht="15" customHeight="1" x14ac:dyDescent="0.2"/>
    <row r="35" spans="1:15" ht="30" customHeight="1" x14ac:dyDescent="0.2">
      <c r="A35" s="2" t="s">
        <v>19</v>
      </c>
      <c r="C35" s="2" t="s">
        <v>20</v>
      </c>
      <c r="E35" s="2" t="s">
        <v>20</v>
      </c>
    </row>
    <row r="36" spans="1:15" ht="15" customHeight="1" x14ac:dyDescent="0.2">
      <c r="C36" s="1" t="s">
        <v>26</v>
      </c>
      <c r="E36" s="1" t="s">
        <v>30</v>
      </c>
    </row>
    <row r="37" spans="1:15" ht="20.100000000000001" customHeight="1" x14ac:dyDescent="0.2">
      <c r="A37" s="1" t="s">
        <v>131</v>
      </c>
      <c r="C37" s="1" t="s">
        <v>21</v>
      </c>
      <c r="E37" s="1" t="s">
        <v>21</v>
      </c>
      <c r="F37" s="1" t="s">
        <v>101</v>
      </c>
    </row>
    <row r="38" spans="1:15" ht="20.100000000000001" customHeight="1" x14ac:dyDescent="0.25">
      <c r="A38" s="1" t="s">
        <v>9</v>
      </c>
      <c r="C38" s="1" t="s">
        <v>22</v>
      </c>
      <c r="D38" s="1" t="s">
        <v>90</v>
      </c>
      <c r="E38" s="1" t="s">
        <v>132</v>
      </c>
      <c r="F38" s="1" t="s">
        <v>101</v>
      </c>
    </row>
    <row r="39" spans="1:15" ht="20.100000000000001" customHeight="1" x14ac:dyDescent="0.25">
      <c r="A39" s="1" t="s">
        <v>10</v>
      </c>
      <c r="C39" s="1" t="s">
        <v>23</v>
      </c>
      <c r="D39" s="1" t="s">
        <v>91</v>
      </c>
      <c r="E39" s="1" t="s">
        <v>91</v>
      </c>
    </row>
    <row r="40" spans="1:15" ht="20.100000000000001" customHeight="1" x14ac:dyDescent="0.25">
      <c r="A40" s="1" t="s">
        <v>164</v>
      </c>
      <c r="C40" s="1" t="s">
        <v>24</v>
      </c>
      <c r="D40" s="1" t="s">
        <v>92</v>
      </c>
      <c r="E40" s="1" t="s">
        <v>133</v>
      </c>
      <c r="F40" s="1" t="s">
        <v>101</v>
      </c>
    </row>
    <row r="41" spans="1:15" ht="20.100000000000001" customHeight="1" x14ac:dyDescent="0.2">
      <c r="A41" s="1" t="s">
        <v>134</v>
      </c>
      <c r="C41" s="1" t="s">
        <v>21</v>
      </c>
      <c r="E41" s="1" t="s">
        <v>21</v>
      </c>
      <c r="F41" s="1" t="s">
        <v>101</v>
      </c>
    </row>
    <row r="42" spans="1:15" ht="20.100000000000001" customHeight="1" x14ac:dyDescent="0.2">
      <c r="A42" s="1" t="s">
        <v>11</v>
      </c>
      <c r="C42" s="1" t="s">
        <v>25</v>
      </c>
      <c r="E42" s="1" t="s">
        <v>25</v>
      </c>
      <c r="F42" s="1" t="s">
        <v>101</v>
      </c>
    </row>
    <row r="43" spans="1:15" ht="20.100000000000001" customHeight="1" x14ac:dyDescent="0.2">
      <c r="A43" s="1" t="s">
        <v>12</v>
      </c>
      <c r="C43" s="1" t="s">
        <v>25</v>
      </c>
      <c r="E43" s="1" t="s">
        <v>25</v>
      </c>
      <c r="F43" s="1" t="s">
        <v>101</v>
      </c>
    </row>
    <row r="44" spans="1:15" ht="20.100000000000001" customHeight="1" x14ac:dyDescent="0.25">
      <c r="A44" s="1" t="s">
        <v>166</v>
      </c>
      <c r="C44" s="1" t="s">
        <v>27</v>
      </c>
      <c r="D44" s="1" t="s">
        <v>93</v>
      </c>
      <c r="E44" s="69">
        <v>0.5</v>
      </c>
    </row>
    <row r="45" spans="1:15" ht="20.100000000000001" customHeight="1" x14ac:dyDescent="0.25">
      <c r="A45" s="1" t="s">
        <v>167</v>
      </c>
      <c r="C45" s="1" t="s">
        <v>28</v>
      </c>
      <c r="D45" s="52" t="s">
        <v>95</v>
      </c>
      <c r="F45" s="69">
        <v>0.6</v>
      </c>
      <c r="G45" s="69"/>
      <c r="H45" s="69"/>
      <c r="I45" s="69"/>
      <c r="J45" s="70"/>
      <c r="K45" s="70"/>
      <c r="L45" s="70"/>
      <c r="M45" s="70"/>
      <c r="N45" s="70"/>
      <c r="O45" s="70"/>
    </row>
    <row r="46" spans="1:15" ht="20.100000000000001" customHeight="1" x14ac:dyDescent="0.25">
      <c r="A46" s="1" t="s">
        <v>168</v>
      </c>
      <c r="C46" s="1" t="s">
        <v>29</v>
      </c>
      <c r="D46" s="52" t="s">
        <v>95</v>
      </c>
      <c r="E46" s="1" t="s">
        <v>252</v>
      </c>
      <c r="F46" s="1" t="s">
        <v>251</v>
      </c>
      <c r="H46" s="69"/>
      <c r="I46" s="69"/>
      <c r="J46" s="70"/>
      <c r="K46" s="70"/>
      <c r="L46" s="70"/>
      <c r="M46" s="70"/>
      <c r="N46" s="70"/>
      <c r="O46" s="70"/>
    </row>
    <row r="47" spans="1:15" ht="20.100000000000001" customHeight="1" x14ac:dyDescent="0.2">
      <c r="A47" s="1" t="s">
        <v>13</v>
      </c>
      <c r="C47" s="1" t="s">
        <v>27</v>
      </c>
      <c r="D47" s="1" t="s">
        <v>96</v>
      </c>
    </row>
    <row r="48" spans="1:15" ht="20.100000000000001" customHeight="1" x14ac:dyDescent="0.2">
      <c r="A48" s="1" t="s">
        <v>171</v>
      </c>
      <c r="C48" s="1" t="s">
        <v>27</v>
      </c>
      <c r="D48" s="1" t="s">
        <v>97</v>
      </c>
    </row>
    <row r="50" spans="1:3" x14ac:dyDescent="0.2">
      <c r="A50" s="1" t="s">
        <v>11</v>
      </c>
      <c r="B50" s="1" t="s">
        <v>81</v>
      </c>
      <c r="C50" s="1" t="s">
        <v>106</v>
      </c>
    </row>
    <row r="51" spans="1:3" x14ac:dyDescent="0.2">
      <c r="A51" s="51">
        <f>Berechnungen!Z10</f>
        <v>90</v>
      </c>
      <c r="B51" s="50">
        <f>Berechnungen!Z11</f>
        <v>100</v>
      </c>
    </row>
    <row r="52" spans="1:3" x14ac:dyDescent="0.2">
      <c r="A52" s="51" t="str">
        <f>Berechnungen!X10</f>
        <v>45</v>
      </c>
      <c r="B52" s="50" t="str">
        <f>Berechnungen!X11&amp;" - "&amp;Berechnungen!X12</f>
        <v>85 - 99</v>
      </c>
    </row>
    <row r="53" spans="1:3" x14ac:dyDescent="0.2">
      <c r="A53" s="51" t="str">
        <f>Berechnungen!W10</f>
        <v>31.5</v>
      </c>
      <c r="B53" s="50"/>
    </row>
    <row r="54" spans="1:3" ht="12" customHeight="1" x14ac:dyDescent="0.2">
      <c r="A54" s="51" t="str">
        <f>Berechnungen!V10</f>
        <v>22.4</v>
      </c>
      <c r="B54" s="50" t="str">
        <f>Berechnungen!V11&amp;" - "&amp;Berechnungen!V12</f>
        <v>50 - 90</v>
      </c>
      <c r="C54" s="52"/>
    </row>
    <row r="55" spans="1:3" ht="12" customHeight="1" x14ac:dyDescent="0.2">
      <c r="A55" s="51" t="str">
        <f>Berechnungen!U10</f>
        <v>16</v>
      </c>
      <c r="B55" s="50"/>
      <c r="C55" s="52"/>
    </row>
    <row r="56" spans="1:3" x14ac:dyDescent="0.2">
      <c r="A56" s="51" t="str">
        <f>Berechnungen!T10</f>
        <v>11.2</v>
      </c>
      <c r="B56" s="50" t="str">
        <f>Berechnungen!T11&amp;" - "&amp;Berechnungen!T12</f>
        <v>30 - 75</v>
      </c>
      <c r="C56" s="52"/>
    </row>
    <row r="57" spans="1:3" x14ac:dyDescent="0.2">
      <c r="A57" s="51" t="str">
        <f>Berechnungen!S10</f>
        <v>8</v>
      </c>
      <c r="B57" s="50"/>
      <c r="C57" s="52"/>
    </row>
    <row r="58" spans="1:3" x14ac:dyDescent="0.2">
      <c r="A58" s="51">
        <f>Berechnungen!R10</f>
        <v>5.6</v>
      </c>
      <c r="B58" s="50" t="str">
        <f>Berechnungen!R11&amp;" - "&amp;Berechnungen!R12</f>
        <v>20 - 60</v>
      </c>
      <c r="C58" s="52"/>
    </row>
    <row r="59" spans="1:3" x14ac:dyDescent="0.2">
      <c r="A59" s="51">
        <f>Berechnungen!Q10</f>
        <v>4</v>
      </c>
      <c r="B59" s="50"/>
      <c r="C59" s="52"/>
    </row>
    <row r="60" spans="1:3" x14ac:dyDescent="0.2">
      <c r="A60" s="51" t="str">
        <f>Berechnungen!O10</f>
        <v>2</v>
      </c>
      <c r="B60" s="50" t="str">
        <f>Berechnungen!O11&amp;" - "&amp;Berechnungen!O12</f>
        <v>13 - 45</v>
      </c>
      <c r="C60" s="52"/>
    </row>
    <row r="61" spans="1:3" x14ac:dyDescent="0.2">
      <c r="A61" s="51" t="str">
        <f>Berechnungen!M10</f>
        <v>1</v>
      </c>
      <c r="B61" s="50" t="str">
        <f>Berechnungen!M11&amp;" - "&amp;Berechnungen!M12</f>
        <v>8 - 35</v>
      </c>
      <c r="C61" s="52"/>
    </row>
    <row r="62" spans="1:3" x14ac:dyDescent="0.2">
      <c r="A62" s="51" t="str">
        <f>Berechnungen!K10</f>
        <v>0.5</v>
      </c>
      <c r="B62" s="50" t="str">
        <f>Berechnungen!K11&amp;" - "&amp;Berechnungen!K12</f>
        <v>5 - 30</v>
      </c>
      <c r="C62" s="52"/>
    </row>
    <row r="63" spans="1:3" x14ac:dyDescent="0.2">
      <c r="A63" s="51">
        <f>Berechnungen!K11</f>
        <v>5</v>
      </c>
      <c r="B63" s="50" t="str">
        <f>Berechnungen!K12&amp;" - "&amp;Berechnungen!K13</f>
        <v xml:space="preserve">30 - </v>
      </c>
    </row>
    <row r="64" spans="1:3" x14ac:dyDescent="0.2">
      <c r="A64" s="51">
        <f>Berechnungen!E10</f>
        <v>6.3E-2</v>
      </c>
      <c r="B64" s="50" t="str">
        <f>Berechnungen!E11&amp;" - "&amp;Berechnungen!E12</f>
        <v>0 - 12</v>
      </c>
    </row>
    <row r="68" spans="1:10" ht="30" customHeight="1" x14ac:dyDescent="0.2">
      <c r="A68" s="2" t="s">
        <v>135</v>
      </c>
      <c r="B68" s="1" t="s">
        <v>75</v>
      </c>
      <c r="C68" s="2" t="s">
        <v>77</v>
      </c>
      <c r="D68" s="2" t="s">
        <v>77</v>
      </c>
      <c r="E68" s="1" t="s">
        <v>185</v>
      </c>
      <c r="F68" s="1" t="s">
        <v>186</v>
      </c>
      <c r="G68" s="2" t="s">
        <v>258</v>
      </c>
      <c r="H68" s="2" t="s">
        <v>258</v>
      </c>
      <c r="I68" s="1" t="s">
        <v>185</v>
      </c>
      <c r="J68" s="1" t="s">
        <v>186</v>
      </c>
    </row>
    <row r="69" spans="1:10" x14ac:dyDescent="0.2">
      <c r="A69" s="1" t="s">
        <v>70</v>
      </c>
      <c r="B69" s="1" t="s">
        <v>59</v>
      </c>
      <c r="C69" s="1" t="s">
        <v>177</v>
      </c>
      <c r="D69" s="69">
        <v>4</v>
      </c>
      <c r="E69" s="69" t="str">
        <f t="array" ref="E69:E75">IF(B17=2,TRANSPOSE('Form_0-45'!B39:H39),"")</f>
        <v/>
      </c>
      <c r="F69" s="69">
        <f>IF(E69&lt;=D69,1,0)</f>
        <v>0</v>
      </c>
      <c r="G69" s="1" t="s">
        <v>259</v>
      </c>
      <c r="H69" s="69">
        <v>0</v>
      </c>
      <c r="I69" s="69" t="str">
        <f t="array" ref="I69:I75">IF(B17=3,TRANSPOSE('Form_0-45'!B39:H39),"")</f>
        <v/>
      </c>
      <c r="J69" s="69">
        <f>IF(I69&lt;=H69,1,0)</f>
        <v>0</v>
      </c>
    </row>
    <row r="70" spans="1:10" x14ac:dyDescent="0.2">
      <c r="A70" s="1" t="s">
        <v>71</v>
      </c>
      <c r="B70" s="1" t="s">
        <v>60</v>
      </c>
      <c r="C70" s="1" t="s">
        <v>178</v>
      </c>
      <c r="D70" s="69">
        <v>1</v>
      </c>
      <c r="E70" s="69" t="str">
        <v/>
      </c>
      <c r="F70" s="69">
        <f>IF(E70&lt;=D70,1,0)</f>
        <v>0</v>
      </c>
      <c r="G70" s="1" t="s">
        <v>259</v>
      </c>
      <c r="H70" s="69">
        <v>0</v>
      </c>
      <c r="I70" s="69" t="str">
        <v/>
      </c>
      <c r="J70" s="69">
        <f t="shared" ref="J70:J75" si="0">IF(I70&lt;=H70,1,0)</f>
        <v>0</v>
      </c>
    </row>
    <row r="71" spans="1:10" x14ac:dyDescent="0.2">
      <c r="A71" s="1" t="s">
        <v>72</v>
      </c>
      <c r="B71" s="1" t="s">
        <v>61</v>
      </c>
      <c r="C71" s="1" t="s">
        <v>179</v>
      </c>
      <c r="D71" s="69">
        <v>30</v>
      </c>
      <c r="E71" s="69" t="str">
        <v/>
      </c>
      <c r="F71" s="69">
        <f>IF(E71&lt;=D71,1,0)</f>
        <v>0</v>
      </c>
      <c r="G71" s="1" t="s">
        <v>259</v>
      </c>
      <c r="H71" s="69">
        <v>0</v>
      </c>
      <c r="I71" s="69" t="str">
        <v/>
      </c>
      <c r="J71" s="69">
        <f t="shared" si="0"/>
        <v>0</v>
      </c>
    </row>
    <row r="72" spans="1:10" x14ac:dyDescent="0.2">
      <c r="A72" s="1" t="s">
        <v>73</v>
      </c>
      <c r="B72" s="1" t="s">
        <v>62</v>
      </c>
      <c r="C72" s="1" t="s">
        <v>182</v>
      </c>
      <c r="D72" s="69">
        <v>70</v>
      </c>
      <c r="E72" s="69" t="str">
        <v/>
      </c>
      <c r="F72" s="69">
        <f>IF(E72&gt;=D72,1,0)</f>
        <v>1</v>
      </c>
      <c r="G72" s="69">
        <f xml:space="preserve"> 100</f>
        <v>100</v>
      </c>
      <c r="H72" s="69">
        <v>100</v>
      </c>
      <c r="I72" s="69" t="str">
        <v/>
      </c>
      <c r="J72" s="69">
        <f>IF(I72&gt;=H72,1,0)</f>
        <v>1</v>
      </c>
    </row>
    <row r="73" spans="1:10" x14ac:dyDescent="0.2">
      <c r="A73" s="1" t="s">
        <v>64</v>
      </c>
      <c r="B73" s="1" t="s">
        <v>63</v>
      </c>
      <c r="C73" s="1" t="s">
        <v>183</v>
      </c>
      <c r="D73" s="69">
        <v>2</v>
      </c>
      <c r="E73" s="69" t="str">
        <v/>
      </c>
      <c r="F73" s="69">
        <f>IF(E73&lt;=D73,1,0)</f>
        <v>0</v>
      </c>
      <c r="G73" s="1" t="s">
        <v>259</v>
      </c>
      <c r="H73" s="69">
        <v>0</v>
      </c>
      <c r="I73" s="69" t="str">
        <v/>
      </c>
      <c r="J73" s="69">
        <f t="shared" si="0"/>
        <v>0</v>
      </c>
    </row>
    <row r="74" spans="1:10" x14ac:dyDescent="0.2">
      <c r="A74" s="1" t="s">
        <v>74</v>
      </c>
      <c r="B74" s="1" t="s">
        <v>65</v>
      </c>
      <c r="C74" s="1" t="s">
        <v>180</v>
      </c>
      <c r="D74" s="69">
        <v>0.3</v>
      </c>
      <c r="E74" s="69" t="str">
        <v/>
      </c>
      <c r="F74" s="69">
        <f>IF(E74&lt;=D74,1,0)</f>
        <v>0</v>
      </c>
      <c r="G74" s="1" t="s">
        <v>259</v>
      </c>
      <c r="H74" s="69">
        <v>0</v>
      </c>
      <c r="I74" s="69" t="str">
        <v/>
      </c>
      <c r="J74" s="69">
        <f t="shared" si="0"/>
        <v>0</v>
      </c>
    </row>
    <row r="75" spans="1:10" x14ac:dyDescent="0.2">
      <c r="A75" s="1" t="s">
        <v>76</v>
      </c>
      <c r="B75" s="1" t="s">
        <v>66</v>
      </c>
      <c r="C75" s="1" t="s">
        <v>181</v>
      </c>
      <c r="D75" s="69">
        <v>5</v>
      </c>
      <c r="E75" s="69" t="str">
        <v/>
      </c>
      <c r="F75" s="69">
        <f>IF(E75&lt;=D75,1,0)</f>
        <v>0</v>
      </c>
      <c r="G75" s="1" t="s">
        <v>259</v>
      </c>
      <c r="H75" s="69">
        <v>0</v>
      </c>
      <c r="I75" s="69" t="str">
        <v/>
      </c>
      <c r="J75" s="69">
        <f t="shared" si="0"/>
        <v>0</v>
      </c>
    </row>
    <row r="76" spans="1:10" x14ac:dyDescent="0.2">
      <c r="E76" s="95" t="s">
        <v>187</v>
      </c>
      <c r="F76" s="69">
        <f>IF(B17=2,SUM(F69:F75),)</f>
        <v>0</v>
      </c>
      <c r="I76" s="95" t="s">
        <v>187</v>
      </c>
      <c r="J76" s="69">
        <f>IF(B17=3,SUM(J69:J75),)</f>
        <v>0</v>
      </c>
    </row>
    <row r="77" spans="1:10" x14ac:dyDescent="0.2">
      <c r="F77" s="1" t="str">
        <f>IF(F76=7,"erfüllt","nicht erfüllt")</f>
        <v>nicht erfüllt</v>
      </c>
      <c r="J77" s="1" t="str">
        <f>IF(J76=7,"erfüllt","nicht erfüllt")</f>
        <v>nicht erfüllt</v>
      </c>
    </row>
    <row r="81" spans="1:6" ht="30" customHeight="1" x14ac:dyDescent="0.2">
      <c r="A81" s="131" t="s">
        <v>208</v>
      </c>
      <c r="B81" s="1" t="s">
        <v>253</v>
      </c>
      <c r="C81" s="1" t="s">
        <v>255</v>
      </c>
      <c r="D81" s="1" t="s">
        <v>207</v>
      </c>
      <c r="E81" s="1" t="s">
        <v>206</v>
      </c>
    </row>
    <row r="82" spans="1:6" x14ac:dyDescent="0.2">
      <c r="A82" s="1" t="s">
        <v>207</v>
      </c>
      <c r="B82" s="1" t="s">
        <v>254</v>
      </c>
      <c r="C82" s="69" t="s">
        <v>244</v>
      </c>
      <c r="D82" s="70">
        <v>3</v>
      </c>
      <c r="E82" s="69">
        <v>0.3</v>
      </c>
      <c r="F82" s="69" t="s">
        <v>256</v>
      </c>
    </row>
    <row r="83" spans="1:6" x14ac:dyDescent="0.2">
      <c r="A83" s="1" t="s">
        <v>206</v>
      </c>
      <c r="B83" s="1" t="s">
        <v>233</v>
      </c>
      <c r="C83" s="69" t="s">
        <v>244</v>
      </c>
      <c r="D83" s="70">
        <v>3</v>
      </c>
      <c r="E83" s="69">
        <v>0.3</v>
      </c>
      <c r="F83" s="69" t="s">
        <v>284</v>
      </c>
    </row>
    <row r="84" spans="1:6" x14ac:dyDescent="0.2">
      <c r="B84" s="1" t="s">
        <v>77</v>
      </c>
      <c r="C84" s="69" t="s">
        <v>245</v>
      </c>
      <c r="D84" s="69">
        <v>12.5</v>
      </c>
      <c r="E84" s="69">
        <v>1.5</v>
      </c>
      <c r="F84" s="69" t="s">
        <v>285</v>
      </c>
    </row>
  </sheetData>
  <mergeCells count="1">
    <mergeCell ref="A1:C1"/>
  </mergeCells>
  <pageMargins left="0.70866141732283472" right="0.51181102362204722" top="0.59055118110236227" bottom="0.59055118110236227" header="0.31496062992125984" footer="0.31496062992125984"/>
  <pageSetup paperSize="9" scale="45" orientation="landscape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pageSetUpPr fitToPage="1"/>
  </sheetPr>
  <dimension ref="A1:AG53"/>
  <sheetViews>
    <sheetView zoomScale="115" zoomScaleNormal="115" workbookViewId="0">
      <selection activeCell="A8" sqref="A8"/>
    </sheetView>
  </sheetViews>
  <sheetFormatPr baseColWidth="10" defaultColWidth="11.42578125" defaultRowHeight="12.75" x14ac:dyDescent="0.2"/>
  <cols>
    <col min="1" max="1" width="4.7109375" style="7" customWidth="1"/>
    <col min="2" max="3" width="4.5703125" style="7" customWidth="1"/>
    <col min="4" max="4" width="5.28515625" style="7" customWidth="1"/>
    <col min="5" max="20" width="4.7109375" style="7" customWidth="1"/>
    <col min="21" max="26" width="6.7109375" style="7" customWidth="1"/>
    <col min="27" max="27" width="4.7109375" style="7" customWidth="1"/>
    <col min="28" max="29" width="2.7109375" style="7" customWidth="1"/>
    <col min="30" max="34" width="15.7109375" style="7" customWidth="1"/>
    <col min="35" max="16384" width="11.42578125" style="7"/>
  </cols>
  <sheetData>
    <row r="1" spans="1:27" s="4" customFormat="1" x14ac:dyDescent="0.2">
      <c r="A1" s="3" t="s">
        <v>31</v>
      </c>
      <c r="N1" s="5"/>
      <c r="O1" s="6"/>
      <c r="P1" s="6"/>
      <c r="S1" s="7"/>
      <c r="V1" s="5"/>
      <c r="W1" s="6"/>
    </row>
    <row r="2" spans="1:27" s="4" customFormat="1" ht="11.1" customHeight="1" x14ac:dyDescent="0.2">
      <c r="N2" s="6"/>
      <c r="O2" s="6"/>
      <c r="P2" s="6"/>
      <c r="S2" s="7"/>
      <c r="V2" s="6"/>
      <c r="W2" s="6"/>
    </row>
    <row r="3" spans="1:27" s="4" customFormat="1" ht="11.1" customHeight="1" x14ac:dyDescent="0.2">
      <c r="N3" s="6"/>
      <c r="O3" s="6"/>
      <c r="P3" s="6"/>
      <c r="S3" s="7"/>
      <c r="V3" s="6"/>
      <c r="W3" s="6"/>
    </row>
    <row r="4" spans="1:27" s="4" customFormat="1" ht="11.1" customHeight="1" x14ac:dyDescent="0.2">
      <c r="N4" s="6"/>
      <c r="O4" s="6"/>
      <c r="P4" s="6"/>
      <c r="S4" s="7"/>
      <c r="V4" s="6"/>
      <c r="W4" s="6"/>
    </row>
    <row r="5" spans="1:27" s="9" customFormat="1" ht="15" customHeight="1" x14ac:dyDescent="0.25">
      <c r="A5" s="8" t="s">
        <v>78</v>
      </c>
      <c r="N5" s="6"/>
      <c r="O5" s="6"/>
      <c r="P5" s="6"/>
      <c r="S5" s="10"/>
      <c r="V5" s="6"/>
      <c r="W5" s="6"/>
      <c r="AA5" s="11"/>
    </row>
    <row r="7" spans="1:27" x14ac:dyDescent="0.2">
      <c r="A7" s="12" t="s">
        <v>44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4"/>
      <c r="Z7" s="14" t="s">
        <v>217</v>
      </c>
      <c r="AA7" s="13"/>
    </row>
    <row r="8" spans="1:27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  <c r="M8" s="15"/>
      <c r="N8" s="15"/>
      <c r="O8" s="15"/>
      <c r="P8" s="15"/>
      <c r="Q8" s="15"/>
      <c r="R8" s="15"/>
      <c r="S8" s="15"/>
      <c r="T8" s="15"/>
      <c r="U8" s="15"/>
      <c r="V8" s="16"/>
      <c r="W8" s="16"/>
      <c r="X8" s="16"/>
      <c r="Y8" s="16"/>
      <c r="Z8" s="16"/>
      <c r="AA8" s="16"/>
    </row>
    <row r="9" spans="1:27" x14ac:dyDescent="0.2">
      <c r="A9" s="15" t="s">
        <v>45</v>
      </c>
      <c r="B9" s="15"/>
      <c r="C9" s="15"/>
      <c r="D9" s="15"/>
      <c r="E9" s="15"/>
      <c r="F9" s="15"/>
      <c r="G9" s="15"/>
      <c r="H9" s="15"/>
      <c r="I9" s="15"/>
      <c r="J9" s="15"/>
      <c r="K9" s="33" t="s">
        <v>46</v>
      </c>
      <c r="L9" s="16"/>
      <c r="M9" s="33" t="s">
        <v>47</v>
      </c>
      <c r="N9" s="15"/>
      <c r="O9" s="33" t="s">
        <v>48</v>
      </c>
      <c r="P9" s="15"/>
      <c r="Q9" s="33"/>
      <c r="R9" s="33" t="s">
        <v>49</v>
      </c>
      <c r="S9" s="34" t="s">
        <v>50</v>
      </c>
      <c r="T9" s="33" t="s">
        <v>51</v>
      </c>
      <c r="U9" s="34" t="s">
        <v>52</v>
      </c>
      <c r="V9" s="33" t="s">
        <v>53</v>
      </c>
      <c r="W9" s="16"/>
      <c r="X9" s="16"/>
      <c r="Y9" s="16"/>
      <c r="Z9" s="16"/>
      <c r="AA9" s="16"/>
    </row>
    <row r="10" spans="1:27" x14ac:dyDescent="0.2">
      <c r="A10" s="15" t="s">
        <v>32</v>
      </c>
      <c r="B10" s="15"/>
      <c r="C10" s="15"/>
      <c r="D10" s="15"/>
      <c r="E10" s="17">
        <f>E23</f>
        <v>6.3E-2</v>
      </c>
      <c r="F10" s="17"/>
      <c r="G10" s="17">
        <f t="shared" ref="G10:Z10" si="0">G23</f>
        <v>0.125</v>
      </c>
      <c r="H10" s="17"/>
      <c r="I10" s="17">
        <f t="shared" si="0"/>
        <v>0.25</v>
      </c>
      <c r="J10" s="17"/>
      <c r="K10" s="17" t="str">
        <f t="shared" si="0"/>
        <v>0.5</v>
      </c>
      <c r="L10" s="17"/>
      <c r="M10" s="17" t="str">
        <f t="shared" si="0"/>
        <v>1</v>
      </c>
      <c r="N10" s="17"/>
      <c r="O10" s="17" t="str">
        <f t="shared" si="0"/>
        <v>2</v>
      </c>
      <c r="P10" s="17"/>
      <c r="Q10" s="17">
        <f t="shared" si="0"/>
        <v>4</v>
      </c>
      <c r="R10" s="17">
        <f t="shared" si="0"/>
        <v>5.6</v>
      </c>
      <c r="S10" s="17" t="str">
        <f t="shared" si="0"/>
        <v>8</v>
      </c>
      <c r="T10" s="17" t="str">
        <f t="shared" si="0"/>
        <v>11.2</v>
      </c>
      <c r="U10" s="17" t="str">
        <f t="shared" si="0"/>
        <v>16</v>
      </c>
      <c r="V10" s="17" t="str">
        <f t="shared" si="0"/>
        <v>22.4</v>
      </c>
      <c r="W10" s="17" t="str">
        <f t="shared" si="0"/>
        <v>31.5</v>
      </c>
      <c r="X10" s="17" t="str">
        <f t="shared" si="0"/>
        <v>45</v>
      </c>
      <c r="Y10" s="17">
        <f t="shared" si="0"/>
        <v>63</v>
      </c>
      <c r="Z10" s="17">
        <f t="shared" si="0"/>
        <v>90</v>
      </c>
      <c r="AA10" s="19"/>
    </row>
    <row r="11" spans="1:27" x14ac:dyDescent="0.2">
      <c r="A11" s="20" t="s">
        <v>54</v>
      </c>
      <c r="B11" s="21"/>
      <c r="C11" s="21"/>
      <c r="D11" s="21"/>
      <c r="E11" s="22">
        <v>0</v>
      </c>
      <c r="F11" s="23">
        <f>$E11+($K11-$E11)*(1/6)</f>
        <v>0.83333333333333326</v>
      </c>
      <c r="G11" s="23">
        <f>$E11+($K11-$E11)*(2/6)</f>
        <v>1.6666666666666665</v>
      </c>
      <c r="H11" s="23">
        <f>$E11+($K11-$E11)*(3/6)</f>
        <v>2.5</v>
      </c>
      <c r="I11" s="23">
        <f>$E11+($K11-$E11)*(4/6)</f>
        <v>3.333333333333333</v>
      </c>
      <c r="J11" s="23">
        <f>$E11+($K11-$E11)*(5/6)</f>
        <v>4.166666666666667</v>
      </c>
      <c r="K11" s="22">
        <v>5</v>
      </c>
      <c r="L11" s="23">
        <f>(K11+M11)/2</f>
        <v>6.5</v>
      </c>
      <c r="M11" s="22">
        <v>8</v>
      </c>
      <c r="N11" s="23">
        <f>(M11+O11)/2</f>
        <v>10.5</v>
      </c>
      <c r="O11" s="22">
        <v>13</v>
      </c>
      <c r="P11" s="23">
        <f>$O11+($R11-$O11)*(1/3)</f>
        <v>15.333333333333332</v>
      </c>
      <c r="Q11" s="23">
        <f>$O11+($R11-$O11)*(2/3)</f>
        <v>17.666666666666664</v>
      </c>
      <c r="R11" s="22">
        <v>20</v>
      </c>
      <c r="S11" s="23">
        <f>(R11+T11)/2</f>
        <v>25</v>
      </c>
      <c r="T11" s="22">
        <v>30</v>
      </c>
      <c r="U11" s="23">
        <f>(T11+V11)/2</f>
        <v>40</v>
      </c>
      <c r="V11" s="22">
        <v>50</v>
      </c>
      <c r="W11" s="23">
        <f>(V11+X11)/2</f>
        <v>67.5</v>
      </c>
      <c r="X11" s="22">
        <v>85</v>
      </c>
      <c r="Y11" s="23">
        <v>100</v>
      </c>
      <c r="Z11" s="22">
        <v>100</v>
      </c>
      <c r="AA11" s="21"/>
    </row>
    <row r="12" spans="1:27" x14ac:dyDescent="0.2">
      <c r="A12" s="20" t="s">
        <v>55</v>
      </c>
      <c r="B12" s="21"/>
      <c r="C12" s="21"/>
      <c r="D12" s="21"/>
      <c r="E12" s="22">
        <v>12</v>
      </c>
      <c r="F12" s="23">
        <f>$E12+($K12-$E12)*(1/6)</f>
        <v>15</v>
      </c>
      <c r="G12" s="23">
        <f>$E12+($K12-$E12)*(2/6)</f>
        <v>18</v>
      </c>
      <c r="H12" s="23">
        <f>$E12+($K12-$E12)*(3/6)</f>
        <v>21</v>
      </c>
      <c r="I12" s="23">
        <f>$E12+($K12-$E12)*(4/6)</f>
        <v>24</v>
      </c>
      <c r="J12" s="23">
        <f>$E12+($K12-$E12)*(5/6)</f>
        <v>27</v>
      </c>
      <c r="K12" s="22">
        <v>30</v>
      </c>
      <c r="L12" s="23">
        <f>(K12+M12)/2</f>
        <v>32.5</v>
      </c>
      <c r="M12" s="22">
        <v>35</v>
      </c>
      <c r="N12" s="23">
        <f>(M12+O12)/2</f>
        <v>40</v>
      </c>
      <c r="O12" s="22">
        <v>45</v>
      </c>
      <c r="P12" s="23">
        <f>$O12+($R12-$O12)*(1/3)</f>
        <v>50</v>
      </c>
      <c r="Q12" s="23">
        <f>$O12+($R12-$O12)*(2/3)</f>
        <v>55</v>
      </c>
      <c r="R12" s="22">
        <v>60</v>
      </c>
      <c r="S12" s="23">
        <f>(R12+T12)/2</f>
        <v>67.5</v>
      </c>
      <c r="T12" s="22">
        <v>75</v>
      </c>
      <c r="U12" s="23">
        <f>(T12+V12)/2</f>
        <v>82.5</v>
      </c>
      <c r="V12" s="22">
        <v>90</v>
      </c>
      <c r="W12" s="23">
        <f>(V12+X12)/2</f>
        <v>94.5</v>
      </c>
      <c r="X12" s="22">
        <v>99</v>
      </c>
      <c r="Y12" s="23"/>
      <c r="Z12" s="22"/>
      <c r="AA12" s="21"/>
    </row>
    <row r="13" spans="1:27" ht="6" customHeight="1" x14ac:dyDescent="0.2"/>
    <row r="14" spans="1:27" s="3" customFormat="1" x14ac:dyDescent="0.2">
      <c r="A14" s="20" t="s">
        <v>43</v>
      </c>
      <c r="B14" s="24"/>
      <c r="C14" s="24"/>
      <c r="D14" s="29">
        <f>(E14+K14+M14+O14+R14+T14+V14+X14)</f>
        <v>2</v>
      </c>
      <c r="E14" s="30" t="str">
        <f>IF(E24&lt;=E12,IF(E24&gt;=E11,"1","0"),"0")</f>
        <v>0</v>
      </c>
      <c r="F14" s="31" t="str">
        <f>IF(D14=8,"erfüllt","nicht erfüllt")</f>
        <v>nicht erfüllt</v>
      </c>
      <c r="H14" s="15"/>
      <c r="I14" s="15"/>
      <c r="J14" s="15"/>
      <c r="K14" s="30" t="str">
        <f>IF(K24&lt;=K12,IF(K24&gt;=K11,"1","0"),"0")</f>
        <v>0</v>
      </c>
      <c r="L14" s="15"/>
      <c r="M14" s="30" t="str">
        <f>IF(M24&lt;=M12,IF(M24&gt;=M11,"1","0"),"0")</f>
        <v>0</v>
      </c>
      <c r="N14" s="30"/>
      <c r="O14" s="30" t="str">
        <f>IF(O24&lt;=O12,IF(O24&gt;=O11,"1","0"),"0")</f>
        <v>0</v>
      </c>
      <c r="P14" s="30"/>
      <c r="Q14" s="35"/>
      <c r="R14" s="30" t="str">
        <f>IF(R24&lt;=R12,IF(R24&gt;=R11,"1","0"),"0")</f>
        <v>0</v>
      </c>
      <c r="S14" s="30"/>
      <c r="T14" s="30" t="str">
        <f>IF(T24&lt;=T12,IF(T24&gt;=T11,"1","0"),"0")</f>
        <v>0</v>
      </c>
      <c r="U14" s="30"/>
      <c r="V14" s="30" t="str">
        <f>IF(V24&lt;=V12,IF(V24&gt;=V11,"1","0"),"0")</f>
        <v>1</v>
      </c>
      <c r="W14" s="15"/>
      <c r="X14" s="30" t="str">
        <f>IF(X24&lt;=X12,IF(X24&gt;=X11,"1","0"),"0")</f>
        <v>1</v>
      </c>
      <c r="Y14" s="30"/>
      <c r="AA14" s="24"/>
    </row>
    <row r="15" spans="1:27" ht="6" customHeight="1" x14ac:dyDescent="0.2"/>
    <row r="16" spans="1:27" x14ac:dyDescent="0.2">
      <c r="A16" s="136" t="s">
        <v>215</v>
      </c>
      <c r="B16" s="24"/>
      <c r="C16" s="24"/>
      <c r="D16" s="24"/>
      <c r="E16" s="22"/>
      <c r="F16" s="23"/>
      <c r="G16" s="23"/>
      <c r="H16" s="23"/>
      <c r="I16" s="71"/>
      <c r="J16" s="23"/>
      <c r="K16" s="36">
        <v>10</v>
      </c>
      <c r="L16" s="23">
        <f>(K16+M16)/2</f>
        <v>11.5</v>
      </c>
      <c r="M16" s="36">
        <v>13</v>
      </c>
      <c r="N16" s="23">
        <f>(M16+O16)/2</f>
        <v>15.5</v>
      </c>
      <c r="O16" s="36">
        <v>18</v>
      </c>
      <c r="P16" s="23">
        <f>(O16+Q16)/2</f>
        <v>21</v>
      </c>
      <c r="Q16" s="23">
        <v>24</v>
      </c>
      <c r="R16" s="36">
        <v>27</v>
      </c>
      <c r="S16" s="23">
        <f>(R16+T16)/2</f>
        <v>34</v>
      </c>
      <c r="T16" s="36">
        <v>41</v>
      </c>
      <c r="U16" s="23">
        <f>(T16+V16)/2</f>
        <v>51</v>
      </c>
      <c r="V16" s="36">
        <v>61</v>
      </c>
      <c r="W16" s="23"/>
      <c r="X16" s="22">
        <v>85</v>
      </c>
      <c r="Y16" s="36"/>
      <c r="Z16" s="22"/>
      <c r="AA16" s="24"/>
    </row>
    <row r="17" spans="1:33" x14ac:dyDescent="0.2">
      <c r="A17" s="136" t="s">
        <v>216</v>
      </c>
      <c r="B17" s="24"/>
      <c r="C17" s="24"/>
      <c r="D17" s="24"/>
      <c r="E17" s="22"/>
      <c r="F17" s="23"/>
      <c r="G17" s="23"/>
      <c r="H17" s="23"/>
      <c r="I17" s="71"/>
      <c r="J17" s="23"/>
      <c r="K17" s="36">
        <v>25</v>
      </c>
      <c r="L17" s="23">
        <f>(K17+M17)/2</f>
        <v>27.5</v>
      </c>
      <c r="M17" s="36">
        <v>30</v>
      </c>
      <c r="N17" s="23">
        <f>(M17+O17)/2</f>
        <v>33</v>
      </c>
      <c r="O17" s="36">
        <v>36</v>
      </c>
      <c r="P17" s="23">
        <f>(O17+Q17)/2</f>
        <v>40.5</v>
      </c>
      <c r="Q17" s="23">
        <v>45</v>
      </c>
      <c r="R17" s="36">
        <v>49</v>
      </c>
      <c r="S17" s="23">
        <f>(R17+T17)/2</f>
        <v>56.5</v>
      </c>
      <c r="T17" s="36">
        <v>64</v>
      </c>
      <c r="U17" s="23">
        <f>(T17+V17)/2</f>
        <v>71.5</v>
      </c>
      <c r="V17" s="36">
        <v>79</v>
      </c>
      <c r="W17" s="23"/>
      <c r="X17" s="22">
        <v>99</v>
      </c>
      <c r="Y17" s="36"/>
      <c r="Z17" s="25"/>
      <c r="AA17" s="24"/>
    </row>
    <row r="18" spans="1:33" ht="6" customHeight="1" x14ac:dyDescent="0.2"/>
    <row r="19" spans="1:33" ht="6" customHeight="1" x14ac:dyDescent="0.2"/>
    <row r="20" spans="1:33" ht="14.45" customHeight="1" x14ac:dyDescent="0.2">
      <c r="A20" s="15" t="str">
        <f>A23</f>
        <v>Prüfsiebe # (mm)</v>
      </c>
      <c r="E20" s="17">
        <f t="shared" ref="E20:Z20" si="1">E23</f>
        <v>6.3E-2</v>
      </c>
      <c r="F20" s="15"/>
      <c r="G20" s="18">
        <f t="shared" si="1"/>
        <v>0.125</v>
      </c>
      <c r="H20" s="15"/>
      <c r="I20" s="18">
        <f t="shared" si="1"/>
        <v>0.25</v>
      </c>
      <c r="J20" s="15"/>
      <c r="K20" s="17" t="str">
        <f t="shared" si="1"/>
        <v>0.5</v>
      </c>
      <c r="L20" s="16"/>
      <c r="M20" s="17" t="str">
        <f t="shared" si="1"/>
        <v>1</v>
      </c>
      <c r="N20" s="16"/>
      <c r="O20" s="17" t="str">
        <f t="shared" si="1"/>
        <v>2</v>
      </c>
      <c r="P20" s="17"/>
      <c r="Q20" s="17">
        <f t="shared" si="1"/>
        <v>4</v>
      </c>
      <c r="R20" s="17">
        <f t="shared" si="1"/>
        <v>5.6</v>
      </c>
      <c r="S20" s="17" t="str">
        <f t="shared" si="1"/>
        <v>8</v>
      </c>
      <c r="T20" s="17" t="str">
        <f t="shared" si="1"/>
        <v>11.2</v>
      </c>
      <c r="U20" s="17" t="str">
        <f t="shared" si="1"/>
        <v>16</v>
      </c>
      <c r="V20" s="17" t="str">
        <f t="shared" si="1"/>
        <v>22.4</v>
      </c>
      <c r="W20" s="17" t="str">
        <f t="shared" si="1"/>
        <v>31.5</v>
      </c>
      <c r="X20" s="17" t="str">
        <f t="shared" si="1"/>
        <v>45</v>
      </c>
      <c r="Y20" s="17">
        <f t="shared" si="1"/>
        <v>63</v>
      </c>
      <c r="Z20" s="17">
        <f t="shared" si="1"/>
        <v>90</v>
      </c>
    </row>
    <row r="21" spans="1:33" ht="14.45" customHeight="1" x14ac:dyDescent="0.2">
      <c r="A21" s="15" t="s">
        <v>79</v>
      </c>
      <c r="E21" s="17">
        <v>0</v>
      </c>
      <c r="F21" s="19"/>
      <c r="G21" s="18">
        <v>0</v>
      </c>
      <c r="H21" s="19"/>
      <c r="I21" s="18">
        <v>0</v>
      </c>
      <c r="J21" s="19"/>
      <c r="K21" s="17">
        <v>0</v>
      </c>
      <c r="L21" s="19"/>
      <c r="M21" s="17">
        <v>0</v>
      </c>
      <c r="N21" s="19"/>
      <c r="O21" s="17">
        <v>0</v>
      </c>
      <c r="P21" s="17">
        <v>0</v>
      </c>
      <c r="Q21" s="17">
        <v>0</v>
      </c>
      <c r="R21" s="17">
        <v>0</v>
      </c>
      <c r="S21" s="17">
        <v>0</v>
      </c>
      <c r="T21" s="17">
        <v>0</v>
      </c>
      <c r="U21" s="17">
        <v>0</v>
      </c>
      <c r="V21" s="17">
        <v>0</v>
      </c>
      <c r="W21" s="17">
        <v>0</v>
      </c>
      <c r="X21" s="17">
        <v>0</v>
      </c>
      <c r="Y21" s="17">
        <v>0</v>
      </c>
      <c r="Z21" s="17">
        <v>0</v>
      </c>
    </row>
    <row r="22" spans="1:33" ht="8.1" customHeight="1" x14ac:dyDescent="0.2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  <row r="23" spans="1:33" x14ac:dyDescent="0.2">
      <c r="A23" s="15" t="s">
        <v>32</v>
      </c>
      <c r="B23" s="15"/>
      <c r="C23" s="15"/>
      <c r="D23" s="15"/>
      <c r="E23" s="17">
        <v>6.3E-2</v>
      </c>
      <c r="F23" s="15"/>
      <c r="G23" s="18">
        <v>0.125</v>
      </c>
      <c r="H23" s="15"/>
      <c r="I23" s="18">
        <v>0.25</v>
      </c>
      <c r="J23" s="15"/>
      <c r="K23" s="17" t="s">
        <v>33</v>
      </c>
      <c r="L23" s="16"/>
      <c r="M23" s="17" t="s">
        <v>34</v>
      </c>
      <c r="N23" s="16"/>
      <c r="O23" s="17" t="s">
        <v>35</v>
      </c>
      <c r="P23" s="17"/>
      <c r="Q23" s="17">
        <v>4</v>
      </c>
      <c r="R23" s="17">
        <v>5.6</v>
      </c>
      <c r="S23" s="17" t="s">
        <v>36</v>
      </c>
      <c r="T23" s="17" t="s">
        <v>37</v>
      </c>
      <c r="U23" s="17" t="s">
        <v>38</v>
      </c>
      <c r="V23" s="17" t="s">
        <v>39</v>
      </c>
      <c r="W23" s="17" t="s">
        <v>40</v>
      </c>
      <c r="X23" s="17" t="s">
        <v>41</v>
      </c>
      <c r="Y23" s="17">
        <v>63</v>
      </c>
      <c r="Z23" s="17">
        <v>90</v>
      </c>
      <c r="AA23" s="19"/>
    </row>
    <row r="24" spans="1:33" ht="15" x14ac:dyDescent="0.2">
      <c r="A24" s="15" t="s">
        <v>42</v>
      </c>
      <c r="B24" s="15"/>
      <c r="C24" s="15"/>
      <c r="D24" s="15"/>
      <c r="E24" s="26">
        <f>'Form_0-45'!I32</f>
        <v>20</v>
      </c>
      <c r="G24" s="71">
        <f>(I24+E24)/2</f>
        <v>25</v>
      </c>
      <c r="I24" s="27">
        <f>'Form_0-45'!I31</f>
        <v>30</v>
      </c>
      <c r="K24" s="27">
        <f>'Form_0-45'!I30</f>
        <v>40</v>
      </c>
      <c r="L24" s="23">
        <f>(K24+M24)/2</f>
        <v>45</v>
      </c>
      <c r="M24" s="27">
        <f>'Form_0-45'!I29</f>
        <v>50</v>
      </c>
      <c r="N24" s="23">
        <f>(M24+O24)/2</f>
        <v>55</v>
      </c>
      <c r="O24" s="27">
        <f>'Form_0-45'!I28</f>
        <v>60</v>
      </c>
      <c r="P24" s="23">
        <f>(O24+Q24)/2</f>
        <v>65</v>
      </c>
      <c r="Q24" s="27">
        <f>'Form_0-45'!I27</f>
        <v>70</v>
      </c>
      <c r="R24" s="27">
        <f>'Form_0-45'!I26</f>
        <v>76</v>
      </c>
      <c r="S24" s="27">
        <f>'Form_0-45'!I25</f>
        <v>78</v>
      </c>
      <c r="T24" s="27">
        <f>'Form_0-45'!I24</f>
        <v>80</v>
      </c>
      <c r="U24" s="27">
        <f>'Form_0-45'!I23</f>
        <v>82</v>
      </c>
      <c r="V24" s="27">
        <f>'Form_0-45'!I22</f>
        <v>84</v>
      </c>
      <c r="W24" s="27">
        <f>'Form_0-45'!I21</f>
        <v>86</v>
      </c>
      <c r="X24" s="27">
        <f>'Form_0-45'!I20</f>
        <v>88</v>
      </c>
      <c r="Y24" s="27">
        <f>'Form_0-45'!I19</f>
        <v>90</v>
      </c>
      <c r="Z24" s="27">
        <f>'Form_0-45'!I18</f>
        <v>100</v>
      </c>
      <c r="AA24" s="28"/>
      <c r="AD24" s="44"/>
      <c r="AE24" s="44"/>
    </row>
    <row r="25" spans="1:33" ht="15" x14ac:dyDescent="0.2">
      <c r="A25" s="15" t="s">
        <v>56</v>
      </c>
      <c r="H25" s="15"/>
      <c r="I25" s="15"/>
      <c r="J25" s="15"/>
      <c r="K25" s="15"/>
      <c r="L25" s="37">
        <f>M24-K24</f>
        <v>10</v>
      </c>
      <c r="M25" s="15"/>
      <c r="N25" s="37">
        <f>O24-M24</f>
        <v>10</v>
      </c>
      <c r="O25" s="15"/>
      <c r="P25" s="197">
        <f>R24-O24</f>
        <v>16</v>
      </c>
      <c r="Q25" s="198"/>
      <c r="R25" s="15"/>
      <c r="S25" s="37">
        <f>T24-R24</f>
        <v>4</v>
      </c>
      <c r="T25" s="15"/>
      <c r="U25" s="37">
        <f>V24-T24</f>
        <v>4</v>
      </c>
      <c r="V25" s="15"/>
      <c r="W25" s="15"/>
      <c r="X25" s="32"/>
      <c r="Y25" s="15"/>
      <c r="Z25" s="32"/>
      <c r="AA25" s="15"/>
      <c r="AB25" s="15"/>
      <c r="AC25" s="15"/>
      <c r="AD25" s="44"/>
      <c r="AE25" s="44"/>
    </row>
    <row r="26" spans="1:33" ht="15" x14ac:dyDescent="0.2">
      <c r="A26" s="15" t="s">
        <v>57</v>
      </c>
      <c r="H26" s="15"/>
      <c r="I26" s="15"/>
      <c r="J26" s="15"/>
      <c r="K26" s="15"/>
      <c r="L26" s="15"/>
      <c r="M26" s="15"/>
      <c r="N26" s="29">
        <v>4</v>
      </c>
      <c r="O26" s="15"/>
      <c r="P26" s="199">
        <v>7</v>
      </c>
      <c r="Q26" s="200"/>
      <c r="R26" s="38"/>
      <c r="S26" s="29">
        <v>7</v>
      </c>
      <c r="T26" s="38"/>
      <c r="U26" s="29">
        <v>7</v>
      </c>
      <c r="V26" s="15"/>
      <c r="Z26" s="32"/>
      <c r="AA26" s="15"/>
      <c r="AB26" s="15"/>
      <c r="AC26" s="15"/>
      <c r="AD26" s="44"/>
      <c r="AE26" s="44"/>
      <c r="AF26" s="44"/>
      <c r="AG26" s="44"/>
    </row>
    <row r="27" spans="1:33" ht="15" x14ac:dyDescent="0.2">
      <c r="A27" s="15" t="s">
        <v>58</v>
      </c>
      <c r="H27" s="15"/>
      <c r="I27" s="15"/>
      <c r="J27" s="15"/>
      <c r="K27" s="15"/>
      <c r="L27" s="15"/>
      <c r="M27" s="15"/>
      <c r="N27" s="29">
        <v>15</v>
      </c>
      <c r="O27" s="15"/>
      <c r="P27" s="199">
        <v>20</v>
      </c>
      <c r="Q27" s="200"/>
      <c r="R27" s="38"/>
      <c r="S27" s="29">
        <v>30</v>
      </c>
      <c r="T27" s="38"/>
      <c r="U27" s="29">
        <v>30</v>
      </c>
      <c r="V27" s="15"/>
      <c r="Z27" s="39"/>
      <c r="AA27" s="15"/>
      <c r="AB27" s="15"/>
      <c r="AC27" s="15"/>
      <c r="AD27" s="45"/>
      <c r="AE27" s="48"/>
      <c r="AF27" s="44"/>
      <c r="AG27" s="44"/>
    </row>
    <row r="28" spans="1:33" ht="15" x14ac:dyDescent="0.2">
      <c r="A28" s="15"/>
      <c r="H28" s="15"/>
      <c r="I28" s="15"/>
      <c r="J28" s="15"/>
      <c r="K28" s="15"/>
      <c r="L28" s="15"/>
      <c r="M28" s="15"/>
      <c r="N28" s="40"/>
      <c r="O28" s="15"/>
      <c r="P28" s="35"/>
      <c r="Q28" s="35"/>
      <c r="R28" s="38"/>
      <c r="S28" s="40"/>
      <c r="T28" s="38"/>
      <c r="U28" s="40"/>
      <c r="V28" s="15"/>
      <c r="Z28" s="39"/>
      <c r="AA28" s="15"/>
      <c r="AB28" s="15"/>
      <c r="AC28" s="15"/>
      <c r="AD28" s="45"/>
      <c r="AE28" s="48"/>
      <c r="AF28" s="44"/>
      <c r="AG28" s="44"/>
    </row>
    <row r="29" spans="1:33" s="16" customFormat="1" ht="11.25" x14ac:dyDescent="0.2">
      <c r="A29" s="16" t="s">
        <v>83</v>
      </c>
      <c r="D29" s="56">
        <f>(N29+P29+S29+U29)</f>
        <v>2</v>
      </c>
      <c r="F29" s="56" t="str">
        <f>IF(D29=4,"erfüllt","nicht erfüllt")</f>
        <v>nicht erfüllt</v>
      </c>
      <c r="N29" s="57" t="str">
        <f>IF(N25&lt;=N27,IF(N25&gt;=N26,"1","0"),"0")</f>
        <v>1</v>
      </c>
      <c r="P29" s="57" t="str">
        <f>IF(P25&lt;=P27,IF(P25&gt;=P26,"1","0"),"0")</f>
        <v>1</v>
      </c>
      <c r="Q29" s="58"/>
      <c r="R29" s="59"/>
      <c r="S29" s="57" t="str">
        <f>IF(S25&lt;=S27,IF(S25&gt;=S26,"1","0"),"0")</f>
        <v>0</v>
      </c>
      <c r="T29" s="59"/>
      <c r="U29" s="57" t="str">
        <f>IF(U25&lt;=U27,IF(U25&gt;=U26,"1","0"),"0")</f>
        <v>0</v>
      </c>
      <c r="Z29" s="60"/>
      <c r="AD29" s="61"/>
      <c r="AE29" s="62"/>
      <c r="AF29" s="63"/>
      <c r="AG29" s="63"/>
    </row>
    <row r="30" spans="1:33" ht="15" x14ac:dyDescent="0.2">
      <c r="A30" s="15" t="s">
        <v>67</v>
      </c>
      <c r="D30" s="31"/>
      <c r="F30" s="31"/>
      <c r="H30" s="15"/>
      <c r="I30" s="15"/>
      <c r="J30" s="15"/>
      <c r="K30" s="15"/>
      <c r="L30" s="15"/>
      <c r="M30" s="15"/>
      <c r="N30" s="30"/>
      <c r="O30" s="15"/>
      <c r="P30" s="30"/>
      <c r="Q30" s="35"/>
      <c r="R30" s="38"/>
      <c r="S30" s="30"/>
      <c r="T30" s="38"/>
      <c r="U30" s="30"/>
      <c r="V30" s="15"/>
      <c r="Z30" s="41"/>
      <c r="AA30" s="15"/>
      <c r="AB30" s="15"/>
      <c r="AC30" s="15"/>
      <c r="AD30" s="45"/>
      <c r="AE30" s="48"/>
      <c r="AF30" s="44"/>
      <c r="AG30" s="44"/>
    </row>
    <row r="31" spans="1:33" ht="15" x14ac:dyDescent="0.2">
      <c r="A31" s="15" t="s">
        <v>68</v>
      </c>
      <c r="D31" s="31"/>
      <c r="F31" s="31"/>
      <c r="H31" s="15"/>
      <c r="I31" s="15"/>
      <c r="J31" s="15"/>
      <c r="K31" s="15"/>
      <c r="L31" s="15"/>
      <c r="M31" s="15"/>
      <c r="N31" s="30"/>
      <c r="O31" s="15"/>
      <c r="P31" s="30"/>
      <c r="Q31" s="35"/>
      <c r="R31" s="38"/>
      <c r="S31" s="30"/>
      <c r="T31" s="38"/>
      <c r="U31" s="30"/>
      <c r="V31" s="15"/>
      <c r="Z31" s="41"/>
      <c r="AA31" s="15"/>
      <c r="AB31" s="15"/>
      <c r="AC31" s="15"/>
      <c r="AD31" s="45"/>
      <c r="AE31" s="48"/>
      <c r="AF31" s="44"/>
      <c r="AG31" s="46"/>
    </row>
    <row r="32" spans="1:33" ht="15" x14ac:dyDescent="0.2">
      <c r="A32" s="15" t="s">
        <v>69</v>
      </c>
      <c r="U32" s="30"/>
      <c r="V32" s="15"/>
      <c r="Z32" s="41"/>
      <c r="AA32" s="15"/>
      <c r="AB32" s="15"/>
      <c r="AC32" s="15"/>
      <c r="AD32" s="45"/>
      <c r="AE32" s="48"/>
      <c r="AF32" s="47"/>
      <c r="AG32" s="44"/>
    </row>
    <row r="33" spans="1:33" ht="15" x14ac:dyDescent="0.2">
      <c r="A33" s="15"/>
      <c r="D33" s="16"/>
      <c r="E33" s="53"/>
      <c r="F33" s="53"/>
      <c r="G33" s="53"/>
      <c r="H33" s="54"/>
      <c r="I33" s="53"/>
      <c r="J33" s="53"/>
      <c r="K33" s="54"/>
      <c r="L33" s="53"/>
      <c r="M33" s="53"/>
      <c r="N33" s="54"/>
      <c r="O33" s="55"/>
      <c r="P33" s="54"/>
      <c r="Q33" s="54"/>
      <c r="R33" s="55"/>
      <c r="S33" s="55"/>
      <c r="T33" s="55"/>
      <c r="U33" s="16"/>
      <c r="V33" s="16"/>
      <c r="W33" s="16"/>
      <c r="Y33" s="16"/>
      <c r="Z33" s="41"/>
      <c r="AA33" s="15"/>
      <c r="AB33" s="15"/>
      <c r="AC33" s="15"/>
      <c r="AD33" s="45"/>
      <c r="AE33" s="49"/>
      <c r="AF33" s="44"/>
      <c r="AG33" s="44"/>
    </row>
    <row r="34" spans="1:33" ht="15" x14ac:dyDescent="0.2">
      <c r="A34" s="15"/>
      <c r="D34" s="16"/>
      <c r="E34" s="5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30"/>
      <c r="V34" s="15"/>
      <c r="Z34" s="41"/>
      <c r="AA34" s="15"/>
      <c r="AB34" s="15"/>
      <c r="AC34" s="15"/>
      <c r="AD34" s="44"/>
      <c r="AE34" s="44"/>
      <c r="AF34" s="44"/>
      <c r="AG34" s="44"/>
    </row>
    <row r="35" spans="1:33" x14ac:dyDescent="0.2">
      <c r="A35" s="15"/>
      <c r="U35" s="30"/>
      <c r="V35" s="15"/>
      <c r="Z35" s="41"/>
      <c r="AA35" s="15"/>
      <c r="AB35" s="15"/>
      <c r="AC35" s="15"/>
    </row>
    <row r="36" spans="1:33" s="3" customFormat="1" x14ac:dyDescent="0.2">
      <c r="U36" s="30"/>
      <c r="V36" s="15"/>
      <c r="Z36" s="41"/>
      <c r="AA36" s="15"/>
      <c r="AB36" s="15"/>
      <c r="AC36" s="15"/>
    </row>
    <row r="37" spans="1:33" s="3" customFormat="1" x14ac:dyDescent="0.2">
      <c r="A37" s="15"/>
      <c r="U37" s="30"/>
      <c r="V37" s="15"/>
      <c r="Z37" s="41"/>
      <c r="AA37" s="15"/>
      <c r="AB37" s="15"/>
      <c r="AC37" s="15"/>
    </row>
    <row r="38" spans="1:33" s="3" customFormat="1" x14ac:dyDescent="0.2">
      <c r="U38" s="30"/>
      <c r="V38" s="15"/>
      <c r="Z38" s="41"/>
      <c r="AA38" s="15"/>
      <c r="AB38" s="15"/>
      <c r="AC38" s="15"/>
    </row>
    <row r="39" spans="1:33" x14ac:dyDescent="0.2">
      <c r="A39" s="15"/>
      <c r="U39" s="30"/>
      <c r="V39" s="15"/>
      <c r="Z39" s="41"/>
      <c r="AA39" s="15"/>
      <c r="AB39" s="15"/>
      <c r="AC39" s="15"/>
    </row>
    <row r="40" spans="1:33" x14ac:dyDescent="0.2">
      <c r="U40" s="30"/>
      <c r="V40" s="15"/>
      <c r="Z40" s="41"/>
      <c r="AA40" s="15"/>
      <c r="AB40" s="15"/>
      <c r="AC40" s="15"/>
    </row>
    <row r="41" spans="1:33" x14ac:dyDescent="0.2">
      <c r="U41" s="30"/>
      <c r="V41" s="15"/>
      <c r="Z41" s="41"/>
      <c r="AA41" s="15"/>
      <c r="AB41" s="15"/>
      <c r="AC41" s="15"/>
    </row>
    <row r="42" spans="1:33" x14ac:dyDescent="0.2">
      <c r="U42" s="30"/>
      <c r="V42" s="15"/>
      <c r="Z42" s="41"/>
      <c r="AA42" s="15"/>
      <c r="AB42" s="15"/>
      <c r="AC42" s="15"/>
    </row>
    <row r="43" spans="1:33" x14ac:dyDescent="0.2">
      <c r="A43" s="15"/>
      <c r="U43" s="30"/>
      <c r="V43" s="15"/>
      <c r="Z43" s="41"/>
      <c r="AA43" s="15"/>
      <c r="AB43" s="15"/>
      <c r="AC43" s="15"/>
    </row>
    <row r="44" spans="1:33" ht="12.75" customHeight="1" x14ac:dyDescent="0.2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6"/>
      <c r="Z44" s="41"/>
      <c r="AA44" s="16"/>
    </row>
    <row r="46" spans="1:33" x14ac:dyDescent="0.2">
      <c r="A46" s="3"/>
    </row>
    <row r="47" spans="1:33" x14ac:dyDescent="0.2">
      <c r="A47" s="15"/>
    </row>
    <row r="48" spans="1:33" x14ac:dyDescent="0.2">
      <c r="A48" s="15"/>
      <c r="E48" s="40"/>
      <c r="H48" s="15"/>
      <c r="L48" s="40"/>
      <c r="P48" s="15"/>
      <c r="T48" s="40"/>
    </row>
    <row r="49" spans="1:20" x14ac:dyDescent="0.2">
      <c r="A49" s="15"/>
      <c r="E49" s="40"/>
      <c r="H49" s="15"/>
      <c r="L49" s="40"/>
      <c r="P49" s="15"/>
      <c r="T49" s="40"/>
    </row>
    <row r="50" spans="1:20" x14ac:dyDescent="0.2">
      <c r="A50" s="15"/>
      <c r="E50" s="40"/>
      <c r="H50" s="15"/>
      <c r="L50" s="40"/>
      <c r="P50" s="15"/>
      <c r="T50" s="43"/>
    </row>
    <row r="51" spans="1:20" x14ac:dyDescent="0.2">
      <c r="A51" s="15"/>
      <c r="E51" s="42"/>
      <c r="H51" s="15"/>
      <c r="L51" s="42"/>
      <c r="P51" s="15"/>
      <c r="T51" s="43"/>
    </row>
    <row r="52" spans="1:20" x14ac:dyDescent="0.2">
      <c r="P52" s="15"/>
      <c r="T52" s="43"/>
    </row>
    <row r="53" spans="1:20" x14ac:dyDescent="0.2">
      <c r="P53" s="15"/>
      <c r="T53" s="43"/>
    </row>
  </sheetData>
  <mergeCells count="3">
    <mergeCell ref="P25:Q25"/>
    <mergeCell ref="P26:Q26"/>
    <mergeCell ref="P27:Q27"/>
  </mergeCells>
  <pageMargins left="0.59055118110236227" right="0.39370078740157483" top="0.19685039370078741" bottom="0.39370078740157483" header="0.19685039370078741" footer="0.19685039370078741"/>
  <pageSetup paperSize="9" fitToWidth="2" orientation="portrait" r:id="rId1"/>
  <headerFooter alignWithMargins="0">
    <oddFooter>&amp;L&amp;8&amp;F&amp;C&amp;8Vorlage: FP011-1a, 26.11.2011 / Cg&amp;R&amp;8 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9</vt:i4>
      </vt:variant>
    </vt:vector>
  </HeadingPairs>
  <TitlesOfParts>
    <vt:vector size="12" baseType="lpstr">
      <vt:lpstr>Form_0-45</vt:lpstr>
      <vt:lpstr>Form_Liste</vt:lpstr>
      <vt:lpstr>Berechnungen</vt:lpstr>
      <vt:lpstr>'Form_0-45'!Druckbereich</vt:lpstr>
      <vt:lpstr>Jahr_der_Leistungserklärung</vt:lpstr>
      <vt:lpstr>NB_notified_body</vt:lpstr>
      <vt:lpstr>Norm</vt:lpstr>
      <vt:lpstr>SCERT</vt:lpstr>
      <vt:lpstr>SÜGB</vt:lpstr>
      <vt:lpstr>System</vt:lpstr>
      <vt:lpstr>Verwendung</vt:lpstr>
      <vt:lpstr>Zertifizierung</vt:lpstr>
    </vt:vector>
  </TitlesOfParts>
  <Company>Kanton Zuerich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Ferlin</dc:creator>
  <cp:lastModifiedBy>Gerhard Christen</cp:lastModifiedBy>
  <cp:lastPrinted>2023-10-06T14:42:06Z</cp:lastPrinted>
  <dcterms:created xsi:type="dcterms:W3CDTF">2013-02-14T08:39:05Z</dcterms:created>
  <dcterms:modified xsi:type="dcterms:W3CDTF">2023-10-06T14:43:42Z</dcterms:modified>
</cp:coreProperties>
</file>