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DieseArbeitsmappe"/>
  <mc:AlternateContent xmlns:mc="http://schemas.openxmlformats.org/markup-compatibility/2006">
    <mc:Choice Requires="x15">
      <x15ac:absPath xmlns:x15ac="http://schemas.microsoft.com/office/spreadsheetml/2010/11/ac" url="G:\Ef\Vollzug\Projekte\Heizkostenrechner\"/>
    </mc:Choice>
  </mc:AlternateContent>
  <xr:revisionPtr revIDLastSave="0" documentId="13_ncr:1_{A7B90035-91FA-4AF1-A411-C8EF5DA058A4}" xr6:coauthVersionLast="47" xr6:coauthVersionMax="47" xr10:uidLastSave="{00000000-0000-0000-0000-000000000000}"/>
  <bookViews>
    <workbookView xWindow="29655" yWindow="315" windowWidth="26115" windowHeight="16500" xr2:uid="{00000000-000D-0000-FFFF-FFFF00000000}"/>
  </bookViews>
  <sheets>
    <sheet name="Berechnung" sheetId="1" r:id="rId1"/>
    <sheet name="Bild_Heizkosten" sheetId="16" r:id="rId2"/>
    <sheet name="GWR" sheetId="15" r:id="rId3"/>
    <sheet name="Berechnungsgrundlagen" sheetId="7" r:id="rId4"/>
    <sheet name="Quellen" sheetId="4" r:id="rId5"/>
    <sheet name="2.1 Nutzungsgrad" sheetId="8" r:id="rId6"/>
    <sheet name="2.3 Energiepreise" sheetId="12" r:id="rId7"/>
    <sheet name="3.1-4.1 Investitionskosten" sheetId="9" r:id="rId8"/>
    <sheet name="3.5 Förderbeitrag (Kanton)" sheetId="5" r:id="rId9"/>
    <sheet name="5.1 Raumbedarf" sheetId="14" r:id="rId10"/>
    <sheet name="7.2 Kalkulationszinssatz" sheetId="3" r:id="rId11"/>
    <sheet name="Log-Journal" sheetId="13" r:id="rId12"/>
  </sheets>
  <definedNames>
    <definedName name="Alternativen1_ref">Berechnungsgrundlagen!$B$39:$B$45</definedName>
    <definedName name="Alternativen2_ref">Berechnungsgrundlagen!$B$46:$B$47</definedName>
    <definedName name="Anzahl_Jahre">#REF!</definedName>
    <definedName name="Bauvorhaben_ref">Berechnungsgrundlagen!$B$34:$B$36</definedName>
    <definedName name="Betriebszeit">Berechnungsgrundlagen!$C$18</definedName>
    <definedName name="_xlnm.Print_Area" localSheetId="0">Berechnung!$A$1:$M$67</definedName>
    <definedName name="EBF">Berechnung!$J$13</definedName>
    <definedName name="Energiepreise_ref">Berechnungsgrundlagen!$B$50:$E$60</definedName>
    <definedName name="Faktor">'5.1 Raumbedarf'!$C$5</definedName>
    <definedName name="Fernwärme">Berechnung!$H$17</definedName>
    <definedName name="Fernwärme_Invest_ref">'3.1-4.1 Investitionskosten'!$B$4:$G$8</definedName>
    <definedName name="Förderbeiträge">Berechnungsgrundlagen!$B$79:$G$86</definedName>
    <definedName name="Gasheizung_Invest_ref">'3.1-4.1 Investitionskosten'!$B$49:$G$53</definedName>
    <definedName name="Gebäudekategorie_ref">Berechnungsgrundlagen!$B$2:$B$14</definedName>
    <definedName name="Heizgradtage">Berechnungsgrundlagen!$C$17</definedName>
    <definedName name="Heizleistungsbedarf">Berechnung!$J$14</definedName>
    <definedName name="Investition_ref">Berechnungsgrundlagen!$B$67:$F$77</definedName>
    <definedName name="MWST">'2.3 Energiepreise'!$D$12</definedName>
    <definedName name="NEB">Berechnung!$J$16</definedName>
    <definedName name="NEB_manuell">Berechnung!$L$16</definedName>
    <definedName name="Nutzungsgrad_max">Berechnungsgrundlagen!$B$50:$D$60</definedName>
    <definedName name="Nutzungsgrad_ref">Berechnungsgrundlagen!$B$50:$C$60</definedName>
    <definedName name="Nutzungsgrad_Tabelle">'2.1 Nutzungsgrad'!$B$4:$F$49</definedName>
    <definedName name="Oelheizung_Invest_ref">'3.1-4.1 Investitionskosten'!$B$44:$G$48</definedName>
    <definedName name="Pellets_Invest_ref">'3.1-4.1 Investitionskosten'!$B$34:$G$38</definedName>
    <definedName name="Preis_Fernwärme_ref">Berechnungsgrundlagen!$B$63:$C$64</definedName>
    <definedName name="Raumbedarf_ref">Berechnungsgrundlagen!$B$90:$C$100</definedName>
    <definedName name="Schnitzel_Invest_ref">'3.1-4.1 Investitionskosten'!$B$39:$G$43</definedName>
    <definedName name="Spez_Raumkosten">Berechnungsgrundlagen!$C$102</definedName>
    <definedName name="Strompreis_ref">'2.3 Energiepreise'!$B$18:$D$47</definedName>
    <definedName name="Stromverbrauch_ref">Berechnungsgrundlagen!$B$2:$C$14</definedName>
    <definedName name="System_1">Berechnung!$D$20</definedName>
    <definedName name="System_1b">Berechnung!$F$20</definedName>
    <definedName name="System_2">Berechnung!$H$20</definedName>
    <definedName name="System_3">Berechnung!$J$20</definedName>
    <definedName name="System_4">Berechnung!$L$20</definedName>
    <definedName name="Ta">Berechnungsgrundlagen!$C$20</definedName>
    <definedName name="Ti">Berechnungsgrundlagen!$C$19</definedName>
    <definedName name="Wärmeverteil">Berechnung!#REF!</definedName>
    <definedName name="Warmwasserbedarf">Berechnung!$J$15</definedName>
    <definedName name="Warmwasserbedarf_ref">Berechnungsgrundlagen!$B$3:$D$14</definedName>
    <definedName name="Warmwasserbedarf_ref2">Berechnung!#REF!</definedName>
    <definedName name="Wartung_Unterhalt_ref">Berechnungsgrundlagen!$B$49:$F$60</definedName>
    <definedName name="WP_Luft_Liste">Berechnungsgrundlagen!$B$39:$B$41</definedName>
    <definedName name="WPAbsropt_Invest_ref">'3.1-4.1 Investitionskosten'!$B$54:$G$58</definedName>
    <definedName name="WPLuft_Invest_ref">'3.1-4.1 Investitionskosten'!$B$14:$G$18</definedName>
    <definedName name="WPLufti_Invest_ref">'3.1-4.1 Investitionskosten'!$B$19:$G$23</definedName>
    <definedName name="WPSonde_Invest_ref">'3.1-4.1 Investitionskosten'!$B$24:$G$28</definedName>
    <definedName name="WPWasser_Invest_ref">'3.1-4.1 Investitionskosten'!$B$29:$G$33</definedName>
    <definedName name="WPZeolyth_Invest_ref">'3.1-4.1 Investitionskosten'!$B$59:$G$63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13" l="1"/>
  <c r="C91" i="7"/>
  <c r="K9" i="12"/>
  <c r="K10" i="12" s="1"/>
  <c r="F83" i="7"/>
  <c r="F84" i="7"/>
  <c r="F82" i="7"/>
  <c r="F81" i="7"/>
  <c r="F80" i="7"/>
  <c r="M83" i="12"/>
  <c r="N83" i="12"/>
  <c r="P83" i="12"/>
  <c r="K11" i="12" l="1"/>
  <c r="E32" i="12"/>
  <c r="E30" i="12"/>
  <c r="C2" i="16" l="1"/>
  <c r="D2" i="16"/>
  <c r="F2" i="16"/>
  <c r="L37" i="1" l="1"/>
  <c r="H37" i="1"/>
  <c r="F37" i="1"/>
  <c r="G125" i="7"/>
  <c r="F125" i="7"/>
  <c r="E125" i="7"/>
  <c r="D125" i="7"/>
  <c r="C125" i="7"/>
  <c r="H58" i="12" l="1"/>
  <c r="I58" i="12"/>
  <c r="J58" i="12"/>
  <c r="K58" i="12"/>
  <c r="L58" i="12"/>
  <c r="M58" i="12"/>
  <c r="N58" i="12"/>
  <c r="O58" i="12"/>
  <c r="P58" i="12"/>
  <c r="G58" i="12"/>
  <c r="B1" i="15"/>
  <c r="B3" i="15" s="1"/>
  <c r="O8" i="1" l="1"/>
  <c r="E58" i="12"/>
  <c r="C3" i="15"/>
  <c r="D3" i="15"/>
  <c r="B2" i="15"/>
  <c r="D51" i="7"/>
  <c r="D52" i="7"/>
  <c r="D53" i="7"/>
  <c r="D54" i="7"/>
  <c r="D55" i="7"/>
  <c r="D56" i="7"/>
  <c r="D57" i="7"/>
  <c r="D58" i="7"/>
  <c r="D50" i="7"/>
  <c r="B5" i="15" l="1"/>
  <c r="B6" i="15" s="1"/>
  <c r="D17" i="15" s="1"/>
  <c r="C17" i="15" s="1"/>
  <c r="B17" i="15" s="1"/>
  <c r="O7" i="1"/>
  <c r="E7" i="1"/>
  <c r="C51" i="7"/>
  <c r="C52" i="7"/>
  <c r="C53" i="7"/>
  <c r="C54" i="7"/>
  <c r="C55" i="7"/>
  <c r="C56" i="7"/>
  <c r="C57" i="7"/>
  <c r="C58" i="7"/>
  <c r="C50" i="7"/>
  <c r="D14" i="15" l="1"/>
  <c r="C14" i="15" s="1"/>
  <c r="B14" i="15" s="1"/>
  <c r="D12" i="15"/>
  <c r="C12" i="15" s="1"/>
  <c r="B12" i="15" s="1"/>
  <c r="D15" i="15"/>
  <c r="C15" i="15" s="1"/>
  <c r="B15" i="15" s="1"/>
  <c r="K8" i="1" s="1"/>
  <c r="D9" i="15"/>
  <c r="C9" i="15" s="1"/>
  <c r="B9" i="15" s="1"/>
  <c r="K7" i="1" s="1"/>
  <c r="D11" i="15"/>
  <c r="C11" i="15" s="1"/>
  <c r="B11" i="15" s="1"/>
  <c r="E8" i="1" s="1"/>
  <c r="D13" i="15"/>
  <c r="C13" i="15" s="1"/>
  <c r="B13" i="15" s="1"/>
  <c r="D16" i="15"/>
  <c r="C16" i="15" s="1"/>
  <c r="B16" i="15" s="1"/>
  <c r="D10" i="15"/>
  <c r="C10" i="15" s="1"/>
  <c r="B10" i="15" s="1"/>
  <c r="E44" i="14"/>
  <c r="E43" i="14"/>
  <c r="E42" i="14"/>
  <c r="E41" i="14"/>
  <c r="E40" i="14"/>
  <c r="E39" i="14"/>
  <c r="E38" i="14"/>
  <c r="C97" i="7" s="1"/>
  <c r="D9" i="14"/>
  <c r="D55" i="14"/>
  <c r="D54" i="14"/>
  <c r="D14" i="14" s="1"/>
  <c r="D53" i="14"/>
  <c r="D13" i="14" s="1"/>
  <c r="D52" i="14"/>
  <c r="D12" i="14" s="1"/>
  <c r="D51" i="14"/>
  <c r="D11" i="14" s="1"/>
  <c r="D50" i="14"/>
  <c r="D15" i="14" l="1"/>
  <c r="C98" i="7"/>
  <c r="D10" i="14"/>
  <c r="C76" i="7"/>
  <c r="D76" i="7"/>
  <c r="E76" i="7"/>
  <c r="F76" i="7"/>
  <c r="C77" i="7"/>
  <c r="D77" i="7"/>
  <c r="E77" i="7"/>
  <c r="F77" i="7"/>
  <c r="C94" i="7" l="1"/>
  <c r="C90" i="7"/>
  <c r="C93" i="7"/>
  <c r="H30" i="1"/>
  <c r="H29" i="1"/>
  <c r="D20" i="1"/>
  <c r="D37" i="1" l="1"/>
  <c r="B2" i="16"/>
  <c r="D24" i="14"/>
  <c r="D23" i="14"/>
  <c r="C92" i="7" s="1"/>
  <c r="D22" i="14"/>
  <c r="D21" i="14"/>
  <c r="D20" i="14"/>
  <c r="D19" i="14"/>
  <c r="L39" i="1"/>
  <c r="C3" i="14"/>
  <c r="F30" i="1"/>
  <c r="G85" i="7"/>
  <c r="G86" i="7"/>
  <c r="E84" i="7"/>
  <c r="E83" i="7"/>
  <c r="E82" i="7"/>
  <c r="E81" i="7"/>
  <c r="C84" i="7"/>
  <c r="C83" i="7"/>
  <c r="C82" i="7"/>
  <c r="C81" i="7"/>
  <c r="E80" i="7"/>
  <c r="C80" i="7"/>
  <c r="L33" i="1"/>
  <c r="L32" i="1"/>
  <c r="F39" i="1" l="1"/>
  <c r="G82" i="7"/>
  <c r="G84" i="7"/>
  <c r="G83" i="7"/>
  <c r="G81" i="7"/>
  <c r="C3" i="13" l="1"/>
  <c r="E2" i="13" s="1"/>
  <c r="G4" i="1" s="1"/>
  <c r="E44" i="9"/>
  <c r="E49" i="9"/>
  <c r="V33" i="9"/>
  <c r="U33" i="9"/>
  <c r="G33" i="9" s="1"/>
  <c r="T33" i="9"/>
  <c r="S33" i="9"/>
  <c r="F33" i="9" s="1"/>
  <c r="R33" i="9"/>
  <c r="E33" i="9" s="1"/>
  <c r="Q33" i="9"/>
  <c r="P33" i="9"/>
  <c r="O33" i="9"/>
  <c r="G49" i="9"/>
  <c r="F49" i="9"/>
  <c r="D49" i="9"/>
  <c r="G44" i="9"/>
  <c r="F44" i="9"/>
  <c r="D44" i="9"/>
  <c r="G34" i="9"/>
  <c r="D34" i="9"/>
  <c r="E34" i="9"/>
  <c r="F34" i="9"/>
  <c r="V53" i="9"/>
  <c r="U53" i="9"/>
  <c r="T53" i="9"/>
  <c r="S53" i="9"/>
  <c r="F53" i="9" s="1"/>
  <c r="R53" i="9"/>
  <c r="Q53" i="9"/>
  <c r="E53" i="9" s="1"/>
  <c r="P53" i="9"/>
  <c r="O53" i="9"/>
  <c r="D53" i="9" s="1"/>
  <c r="V52" i="9"/>
  <c r="U52" i="9"/>
  <c r="T52" i="9"/>
  <c r="S52" i="9"/>
  <c r="R52" i="9"/>
  <c r="Q52" i="9"/>
  <c r="E52" i="9" s="1"/>
  <c r="P52" i="9"/>
  <c r="O52" i="9"/>
  <c r="D52" i="9" s="1"/>
  <c r="V51" i="9"/>
  <c r="U51" i="9"/>
  <c r="T51" i="9"/>
  <c r="S51" i="9"/>
  <c r="F51" i="9" s="1"/>
  <c r="R51" i="9"/>
  <c r="Q51" i="9"/>
  <c r="E51" i="9" s="1"/>
  <c r="P51" i="9"/>
  <c r="O51" i="9"/>
  <c r="D51" i="9" s="1"/>
  <c r="V50" i="9"/>
  <c r="U50" i="9"/>
  <c r="T50" i="9"/>
  <c r="S50" i="9"/>
  <c r="R50" i="9"/>
  <c r="Q50" i="9"/>
  <c r="E50" i="9" s="1"/>
  <c r="P50" i="9"/>
  <c r="O50" i="9"/>
  <c r="D50" i="9" s="1"/>
  <c r="V48" i="9"/>
  <c r="U48" i="9"/>
  <c r="T48" i="9"/>
  <c r="S48" i="9"/>
  <c r="R48" i="9"/>
  <c r="Q48" i="9"/>
  <c r="E48" i="9" s="1"/>
  <c r="P48" i="9"/>
  <c r="O48" i="9"/>
  <c r="D48" i="9" s="1"/>
  <c r="V47" i="9"/>
  <c r="U47" i="9"/>
  <c r="T47" i="9"/>
  <c r="S47" i="9"/>
  <c r="R47" i="9"/>
  <c r="Q47" i="9"/>
  <c r="E47" i="9" s="1"/>
  <c r="P47" i="9"/>
  <c r="O47" i="9"/>
  <c r="D47" i="9" s="1"/>
  <c r="V46" i="9"/>
  <c r="U46" i="9"/>
  <c r="T46" i="9"/>
  <c r="S46" i="9"/>
  <c r="R46" i="9"/>
  <c r="Q46" i="9"/>
  <c r="E46" i="9" s="1"/>
  <c r="P46" i="9"/>
  <c r="O46" i="9"/>
  <c r="D46" i="9" s="1"/>
  <c r="V45" i="9"/>
  <c r="U45" i="9"/>
  <c r="T45" i="9"/>
  <c r="S45" i="9"/>
  <c r="R45" i="9"/>
  <c r="Q45" i="9"/>
  <c r="E45" i="9" s="1"/>
  <c r="P45" i="9"/>
  <c r="O45" i="9"/>
  <c r="D45" i="9" s="1"/>
  <c r="V43" i="9"/>
  <c r="U43" i="9"/>
  <c r="T43" i="9"/>
  <c r="S43" i="9"/>
  <c r="R43" i="9"/>
  <c r="Q43" i="9"/>
  <c r="E43" i="9" s="1"/>
  <c r="P43" i="9"/>
  <c r="O43" i="9"/>
  <c r="D43" i="9" s="1"/>
  <c r="V42" i="9"/>
  <c r="U42" i="9"/>
  <c r="T42" i="9"/>
  <c r="S42" i="9"/>
  <c r="R42" i="9"/>
  <c r="Q42" i="9"/>
  <c r="E42" i="9" s="1"/>
  <c r="P42" i="9"/>
  <c r="O42" i="9"/>
  <c r="D42" i="9" s="1"/>
  <c r="V41" i="9"/>
  <c r="U41" i="9"/>
  <c r="T41" i="9"/>
  <c r="S41" i="9"/>
  <c r="R41" i="9"/>
  <c r="Q41" i="9"/>
  <c r="E41" i="9" s="1"/>
  <c r="P41" i="9"/>
  <c r="O41" i="9"/>
  <c r="D41" i="9" s="1"/>
  <c r="V38" i="9"/>
  <c r="U38" i="9"/>
  <c r="T38" i="9"/>
  <c r="S38" i="9"/>
  <c r="R38" i="9"/>
  <c r="Q38" i="9"/>
  <c r="E38" i="9" s="1"/>
  <c r="P38" i="9"/>
  <c r="O38" i="9"/>
  <c r="D38" i="9" s="1"/>
  <c r="V37" i="9"/>
  <c r="U37" i="9"/>
  <c r="T37" i="9"/>
  <c r="S37" i="9"/>
  <c r="R37" i="9"/>
  <c r="Q37" i="9"/>
  <c r="E37" i="9" s="1"/>
  <c r="P37" i="9"/>
  <c r="O37" i="9"/>
  <c r="D37" i="9" s="1"/>
  <c r="V36" i="9"/>
  <c r="U36" i="9"/>
  <c r="T36" i="9"/>
  <c r="S36" i="9"/>
  <c r="R36" i="9"/>
  <c r="Q36" i="9"/>
  <c r="E36" i="9" s="1"/>
  <c r="P36" i="9"/>
  <c r="O36" i="9"/>
  <c r="D36" i="9" s="1"/>
  <c r="V35" i="9"/>
  <c r="U35" i="9"/>
  <c r="T35" i="9"/>
  <c r="S35" i="9"/>
  <c r="R35" i="9"/>
  <c r="Q35" i="9"/>
  <c r="E35" i="9" s="1"/>
  <c r="P35" i="9"/>
  <c r="O35" i="9"/>
  <c r="D35" i="9" s="1"/>
  <c r="V28" i="9"/>
  <c r="G28" i="9" s="1"/>
  <c r="U28" i="9"/>
  <c r="T28" i="9"/>
  <c r="S28" i="9"/>
  <c r="R28" i="9"/>
  <c r="Q28" i="9"/>
  <c r="E28" i="9" s="1"/>
  <c r="P28" i="9"/>
  <c r="O28" i="9"/>
  <c r="D28" i="9" s="1"/>
  <c r="V27" i="9"/>
  <c r="U27" i="9"/>
  <c r="T27" i="9"/>
  <c r="S27" i="9"/>
  <c r="R27" i="9"/>
  <c r="Q27" i="9"/>
  <c r="E27" i="9" s="1"/>
  <c r="P27" i="9"/>
  <c r="O27" i="9"/>
  <c r="D27" i="9" s="1"/>
  <c r="V26" i="9"/>
  <c r="G26" i="9" s="1"/>
  <c r="U26" i="9"/>
  <c r="T26" i="9"/>
  <c r="S26" i="9"/>
  <c r="R26" i="9"/>
  <c r="Q26" i="9"/>
  <c r="E26" i="9" s="1"/>
  <c r="P26" i="9"/>
  <c r="O26" i="9"/>
  <c r="D26" i="9" s="1"/>
  <c r="V25" i="9"/>
  <c r="U25" i="9"/>
  <c r="T25" i="9"/>
  <c r="S25" i="9"/>
  <c r="R25" i="9"/>
  <c r="Q25" i="9"/>
  <c r="E25" i="9" s="1"/>
  <c r="P25" i="9"/>
  <c r="O25" i="9"/>
  <c r="D25" i="9" s="1"/>
  <c r="V22" i="9"/>
  <c r="G22" i="9" s="1"/>
  <c r="G23" i="9" s="1"/>
  <c r="U22" i="9"/>
  <c r="T22" i="9"/>
  <c r="S22" i="9"/>
  <c r="R22" i="9"/>
  <c r="Q22" i="9"/>
  <c r="E22" i="9" s="1"/>
  <c r="E23" i="9" s="1"/>
  <c r="P22" i="9"/>
  <c r="O22" i="9"/>
  <c r="D22" i="9" s="1"/>
  <c r="D23" i="9" s="1"/>
  <c r="V21" i="9"/>
  <c r="U21" i="9"/>
  <c r="T21" i="9"/>
  <c r="S21" i="9"/>
  <c r="R21" i="9"/>
  <c r="Q21" i="9"/>
  <c r="E21" i="9" s="1"/>
  <c r="P21" i="9"/>
  <c r="O21" i="9"/>
  <c r="D21" i="9" s="1"/>
  <c r="V20" i="9"/>
  <c r="G20" i="9" s="1"/>
  <c r="U20" i="9"/>
  <c r="T20" i="9"/>
  <c r="S20" i="9"/>
  <c r="R20" i="9"/>
  <c r="Q20" i="9"/>
  <c r="E20" i="9" s="1"/>
  <c r="P20" i="9"/>
  <c r="O20" i="9"/>
  <c r="D20" i="9" s="1"/>
  <c r="V17" i="9"/>
  <c r="U17" i="9"/>
  <c r="T17" i="9"/>
  <c r="S17" i="9"/>
  <c r="R17" i="9"/>
  <c r="Q17" i="9"/>
  <c r="E17" i="9" s="1"/>
  <c r="E18" i="9" s="1"/>
  <c r="P17" i="9"/>
  <c r="O17" i="9"/>
  <c r="D17" i="9" s="1"/>
  <c r="D18" i="9" s="1"/>
  <c r="V16" i="9"/>
  <c r="G16" i="9" s="1"/>
  <c r="U16" i="9"/>
  <c r="T16" i="9"/>
  <c r="S16" i="9"/>
  <c r="R16" i="9"/>
  <c r="Q16" i="9"/>
  <c r="E16" i="9" s="1"/>
  <c r="P16" i="9"/>
  <c r="O16" i="9"/>
  <c r="D16" i="9" s="1"/>
  <c r="V15" i="9"/>
  <c r="U15" i="9"/>
  <c r="T15" i="9"/>
  <c r="S15" i="9"/>
  <c r="R15" i="9"/>
  <c r="Q15" i="9"/>
  <c r="E15" i="9" s="1"/>
  <c r="P15" i="9"/>
  <c r="O15" i="9"/>
  <c r="D15" i="9" s="1"/>
  <c r="V13" i="9"/>
  <c r="G13" i="9" s="1"/>
  <c r="U13" i="9"/>
  <c r="T13" i="9"/>
  <c r="S13" i="9"/>
  <c r="R13" i="9"/>
  <c r="Q13" i="9"/>
  <c r="E13" i="9" s="1"/>
  <c r="P13" i="9"/>
  <c r="O13" i="9"/>
  <c r="D13" i="9" s="1"/>
  <c r="V12" i="9"/>
  <c r="U12" i="9"/>
  <c r="T12" i="9"/>
  <c r="S12" i="9"/>
  <c r="R12" i="9"/>
  <c r="Q12" i="9"/>
  <c r="E12" i="9" s="1"/>
  <c r="P12" i="9"/>
  <c r="O12" i="9"/>
  <c r="D12" i="9" s="1"/>
  <c r="V11" i="9"/>
  <c r="G11" i="9" s="1"/>
  <c r="U11" i="9"/>
  <c r="T11" i="9"/>
  <c r="S11" i="9"/>
  <c r="R11" i="9"/>
  <c r="Q11" i="9"/>
  <c r="E11" i="9" s="1"/>
  <c r="P11" i="9"/>
  <c r="O11" i="9"/>
  <c r="D11" i="9" s="1"/>
  <c r="V10" i="9"/>
  <c r="U10" i="9"/>
  <c r="T10" i="9"/>
  <c r="S10" i="9"/>
  <c r="R10" i="9"/>
  <c r="Q10" i="9"/>
  <c r="E10" i="9" s="1"/>
  <c r="P10" i="9"/>
  <c r="O10" i="9"/>
  <c r="D10" i="9" s="1"/>
  <c r="P6" i="9"/>
  <c r="O6" i="9"/>
  <c r="R6" i="9"/>
  <c r="Q6" i="9"/>
  <c r="T6" i="9"/>
  <c r="S6" i="9"/>
  <c r="F6" i="9" s="1"/>
  <c r="V6" i="9"/>
  <c r="U6" i="9"/>
  <c r="G6" i="9" s="1"/>
  <c r="P7" i="9"/>
  <c r="O7" i="9"/>
  <c r="R7" i="9"/>
  <c r="Q7" i="9"/>
  <c r="T7" i="9"/>
  <c r="S7" i="9"/>
  <c r="F7" i="9" s="1"/>
  <c r="V7" i="9"/>
  <c r="U7" i="9"/>
  <c r="G7" i="9" s="1"/>
  <c r="P8" i="9"/>
  <c r="O8" i="9"/>
  <c r="R8" i="9"/>
  <c r="Q8" i="9"/>
  <c r="T8" i="9"/>
  <c r="S8" i="9"/>
  <c r="F8" i="9" s="1"/>
  <c r="V8" i="9"/>
  <c r="U8" i="9"/>
  <c r="G8" i="9" s="1"/>
  <c r="U5" i="9"/>
  <c r="G5" i="9" s="1"/>
  <c r="V5" i="9"/>
  <c r="S5" i="9"/>
  <c r="T5" i="9"/>
  <c r="Q5" i="9"/>
  <c r="R5" i="9"/>
  <c r="O5" i="9"/>
  <c r="P5" i="9"/>
  <c r="F5" i="9" l="1"/>
  <c r="G36" i="9"/>
  <c r="G38" i="9"/>
  <c r="G42" i="9"/>
  <c r="G45" i="9"/>
  <c r="G47" i="9"/>
  <c r="G50" i="9"/>
  <c r="G51" i="9"/>
  <c r="G52" i="9"/>
  <c r="G53" i="9"/>
  <c r="G35" i="9"/>
  <c r="G37" i="9"/>
  <c r="G41" i="9"/>
  <c r="G43" i="9"/>
  <c r="G46" i="9"/>
  <c r="G48" i="9"/>
  <c r="D5" i="9"/>
  <c r="E5" i="9"/>
  <c r="E8" i="9"/>
  <c r="E7" i="9"/>
  <c r="E6" i="9"/>
  <c r="F10" i="9"/>
  <c r="F11" i="9"/>
  <c r="F12" i="9"/>
  <c r="F13" i="9"/>
  <c r="F15" i="9"/>
  <c r="F16" i="9"/>
  <c r="F17" i="9"/>
  <c r="F18" i="9" s="1"/>
  <c r="F20" i="9"/>
  <c r="F21" i="9"/>
  <c r="F22" i="9"/>
  <c r="F23" i="9" s="1"/>
  <c r="F25" i="9"/>
  <c r="F26" i="9"/>
  <c r="F27" i="9"/>
  <c r="F28" i="9"/>
  <c r="F35" i="9"/>
  <c r="F36" i="9"/>
  <c r="F37" i="9"/>
  <c r="F38" i="9"/>
  <c r="F41" i="9"/>
  <c r="F42" i="9"/>
  <c r="F43" i="9"/>
  <c r="F45" i="9"/>
  <c r="F46" i="9"/>
  <c r="F47" i="9"/>
  <c r="F48" i="9"/>
  <c r="F50" i="9"/>
  <c r="F52" i="9"/>
  <c r="D33" i="9"/>
  <c r="D8" i="9"/>
  <c r="D7" i="9"/>
  <c r="D6" i="9"/>
  <c r="G10" i="9"/>
  <c r="G12" i="9"/>
  <c r="G15" i="9"/>
  <c r="G17" i="9"/>
  <c r="G18" i="9" s="1"/>
  <c r="G21" i="9"/>
  <c r="G25" i="9"/>
  <c r="G27" i="9"/>
  <c r="E4" i="9"/>
  <c r="F4" i="9"/>
  <c r="G4" i="9"/>
  <c r="L31" i="1" l="1"/>
  <c r="F29" i="1" l="1"/>
  <c r="D39" i="1"/>
  <c r="D30" i="1" l="1"/>
  <c r="D29" i="1"/>
  <c r="H77" i="12"/>
  <c r="I77" i="12"/>
  <c r="J77" i="12"/>
  <c r="K77" i="12"/>
  <c r="L77" i="12"/>
  <c r="M77" i="12"/>
  <c r="N77" i="12"/>
  <c r="G77" i="12"/>
  <c r="O77" i="12"/>
  <c r="P77" i="12"/>
  <c r="AE77" i="12"/>
  <c r="AF77" i="12"/>
  <c r="AG77" i="12"/>
  <c r="AH77" i="12"/>
  <c r="AI77" i="12"/>
  <c r="R77" i="12"/>
  <c r="S77" i="12"/>
  <c r="T77" i="12"/>
  <c r="U77" i="12"/>
  <c r="V77" i="12"/>
  <c r="W77" i="12"/>
  <c r="X77" i="12"/>
  <c r="Y77" i="12"/>
  <c r="Z77" i="12"/>
  <c r="AA77" i="12"/>
  <c r="AB77" i="12"/>
  <c r="AC77" i="12"/>
  <c r="AD77" i="12"/>
  <c r="Q77" i="12"/>
  <c r="E83" i="12"/>
  <c r="D84" i="12" s="1"/>
  <c r="E77" i="12" l="1"/>
  <c r="D78" i="12" s="1"/>
  <c r="E81" i="12"/>
  <c r="E54" i="12"/>
  <c r="C71" i="7"/>
  <c r="E9" i="9"/>
  <c r="F9" i="9"/>
  <c r="G9" i="9"/>
  <c r="D9" i="9"/>
  <c r="D4" i="9"/>
  <c r="D1" i="9"/>
  <c r="F75" i="7" l="1"/>
  <c r="F74" i="7"/>
  <c r="E74" i="7"/>
  <c r="D74" i="7"/>
  <c r="C74" i="7"/>
  <c r="E73" i="7"/>
  <c r="D73" i="7"/>
  <c r="C73" i="7"/>
  <c r="E72" i="7"/>
  <c r="D72" i="7"/>
  <c r="C72" i="7"/>
  <c r="F71" i="7"/>
  <c r="E71" i="7"/>
  <c r="D71" i="7"/>
  <c r="F69" i="7"/>
  <c r="F68" i="7"/>
  <c r="F67" i="7"/>
  <c r="E67" i="7"/>
  <c r="D67" i="7"/>
  <c r="C67" i="7"/>
  <c r="H62" i="12" l="1"/>
  <c r="H63" i="12" s="1"/>
  <c r="H74" i="12" s="1"/>
  <c r="H75" i="12" s="1"/>
  <c r="I62" i="12"/>
  <c r="I63" i="12" s="1"/>
  <c r="I74" i="12" s="1"/>
  <c r="I75" i="12" s="1"/>
  <c r="J62" i="12"/>
  <c r="J63" i="12" s="1"/>
  <c r="J74" i="12" s="1"/>
  <c r="J75" i="12" s="1"/>
  <c r="K62" i="12"/>
  <c r="K63" i="12" s="1"/>
  <c r="K74" i="12" s="1"/>
  <c r="K75" i="12" s="1"/>
  <c r="L62" i="12"/>
  <c r="L63" i="12" s="1"/>
  <c r="L74" i="12" s="1"/>
  <c r="L75" i="12" s="1"/>
  <c r="M62" i="12"/>
  <c r="M63" i="12" s="1"/>
  <c r="M74" i="12" s="1"/>
  <c r="M75" i="12" s="1"/>
  <c r="H50" i="12"/>
  <c r="H51" i="12" s="1"/>
  <c r="I50" i="12"/>
  <c r="I51" i="12" s="1"/>
  <c r="J50" i="12"/>
  <c r="J51" i="12" s="1"/>
  <c r="K50" i="12"/>
  <c r="K51" i="12" s="1"/>
  <c r="L50" i="12"/>
  <c r="L51" i="12" s="1"/>
  <c r="M50" i="12"/>
  <c r="M51" i="12" s="1"/>
  <c r="N50" i="12"/>
  <c r="N51" i="12" s="1"/>
  <c r="O50" i="12"/>
  <c r="O51" i="12" s="1"/>
  <c r="P50" i="12"/>
  <c r="P51" i="12" s="1"/>
  <c r="H69" i="12"/>
  <c r="H70" i="12" s="1"/>
  <c r="I69" i="12"/>
  <c r="I70" i="12" s="1"/>
  <c r="J69" i="12"/>
  <c r="J70" i="12" s="1"/>
  <c r="K69" i="12"/>
  <c r="K70" i="12" s="1"/>
  <c r="L69" i="12"/>
  <c r="L70" i="12" s="1"/>
  <c r="M69" i="12"/>
  <c r="M70" i="12" s="1"/>
  <c r="G69" i="12"/>
  <c r="G70" i="12" s="1"/>
  <c r="G62" i="12"/>
  <c r="G63" i="12" s="1"/>
  <c r="G74" i="12" s="1"/>
  <c r="G75" i="12" s="1"/>
  <c r="G50" i="12"/>
  <c r="G51" i="12" s="1"/>
  <c r="P11" i="12"/>
  <c r="P69" i="12" s="1"/>
  <c r="P70" i="12" s="1"/>
  <c r="Q11" i="12"/>
  <c r="Q69" i="12" s="1"/>
  <c r="Q70" i="12" s="1"/>
  <c r="R11" i="12"/>
  <c r="R69" i="12" s="1"/>
  <c r="R70" i="12" s="1"/>
  <c r="S11" i="12"/>
  <c r="S69" i="12" s="1"/>
  <c r="S70" i="12" s="1"/>
  <c r="T11" i="12"/>
  <c r="T69" i="12" s="1"/>
  <c r="T70" i="12" s="1"/>
  <c r="U11" i="12"/>
  <c r="U69" i="12" s="1"/>
  <c r="U70" i="12" s="1"/>
  <c r="V11" i="12"/>
  <c r="V69" i="12" s="1"/>
  <c r="V70" i="12" s="1"/>
  <c r="W11" i="12"/>
  <c r="W69" i="12" s="1"/>
  <c r="W70" i="12" s="1"/>
  <c r="X11" i="12"/>
  <c r="X69" i="12" s="1"/>
  <c r="X70" i="12" s="1"/>
  <c r="Y11" i="12"/>
  <c r="Y69" i="12" s="1"/>
  <c r="Y70" i="12" s="1"/>
  <c r="Z11" i="12"/>
  <c r="Z69" i="12" s="1"/>
  <c r="Z70" i="12" s="1"/>
  <c r="AA11" i="12"/>
  <c r="AA69" i="12" s="1"/>
  <c r="AA70" i="12" s="1"/>
  <c r="AB11" i="12"/>
  <c r="AB69" i="12" s="1"/>
  <c r="AB70" i="12" s="1"/>
  <c r="AC11" i="12"/>
  <c r="AC69" i="12" s="1"/>
  <c r="AC70" i="12" s="1"/>
  <c r="AD11" i="12"/>
  <c r="AD69" i="12" s="1"/>
  <c r="AD70" i="12" s="1"/>
  <c r="AE11" i="12"/>
  <c r="AE69" i="12" s="1"/>
  <c r="AE70" i="12" s="1"/>
  <c r="AF11" i="12"/>
  <c r="AF69" i="12" s="1"/>
  <c r="AF70" i="12" s="1"/>
  <c r="AG11" i="12"/>
  <c r="AG69" i="12" s="1"/>
  <c r="AG70" i="12" s="1"/>
  <c r="AH11" i="12"/>
  <c r="AH69" i="12" s="1"/>
  <c r="AH70" i="12" s="1"/>
  <c r="AI11" i="12"/>
  <c r="AI69" i="12" s="1"/>
  <c r="AI70" i="12" s="1"/>
  <c r="AJ11" i="12"/>
  <c r="AJ69" i="12" s="1"/>
  <c r="AJ70" i="12" s="1"/>
  <c r="AK11" i="12"/>
  <c r="AK69" i="12" s="1"/>
  <c r="AK70" i="12" s="1"/>
  <c r="AL11" i="12"/>
  <c r="AL69" i="12" s="1"/>
  <c r="AL70" i="12" s="1"/>
  <c r="AM11" i="12"/>
  <c r="AM69" i="12" s="1"/>
  <c r="AM70" i="12" s="1"/>
  <c r="AN11" i="12"/>
  <c r="AN69" i="12" s="1"/>
  <c r="AN70" i="12" s="1"/>
  <c r="AO11" i="12"/>
  <c r="AO69" i="12" s="1"/>
  <c r="AO70" i="12" s="1"/>
  <c r="AP11" i="12"/>
  <c r="AP69" i="12" s="1"/>
  <c r="AP70" i="12" s="1"/>
  <c r="AQ11" i="12"/>
  <c r="AQ69" i="12" s="1"/>
  <c r="AQ70" i="12" s="1"/>
  <c r="AR11" i="12"/>
  <c r="AR69" i="12" s="1"/>
  <c r="AR70" i="12" s="1"/>
  <c r="AS11" i="12"/>
  <c r="AS69" i="12" s="1"/>
  <c r="AS70" i="12" s="1"/>
  <c r="O11" i="12"/>
  <c r="O69" i="12" s="1"/>
  <c r="O70" i="12" s="1"/>
  <c r="P10" i="12"/>
  <c r="P62" i="12" s="1"/>
  <c r="P63" i="12" s="1"/>
  <c r="P74" i="12" s="1"/>
  <c r="P75" i="12" s="1"/>
  <c r="Q10" i="12"/>
  <c r="Q62" i="12" s="1"/>
  <c r="Q63" i="12" s="1"/>
  <c r="Q74" i="12" s="1"/>
  <c r="Q75" i="12" s="1"/>
  <c r="R10" i="12"/>
  <c r="R62" i="12" s="1"/>
  <c r="R63" i="12" s="1"/>
  <c r="R74" i="12" s="1"/>
  <c r="R75" i="12" s="1"/>
  <c r="S10" i="12"/>
  <c r="S62" i="12" s="1"/>
  <c r="S63" i="12" s="1"/>
  <c r="S74" i="12" s="1"/>
  <c r="S75" i="12" s="1"/>
  <c r="T10" i="12"/>
  <c r="T62" i="12" s="1"/>
  <c r="T63" i="12" s="1"/>
  <c r="T74" i="12" s="1"/>
  <c r="T75" i="12" s="1"/>
  <c r="U10" i="12"/>
  <c r="U62" i="12" s="1"/>
  <c r="U63" i="12" s="1"/>
  <c r="U74" i="12" s="1"/>
  <c r="U75" i="12" s="1"/>
  <c r="V10" i="12"/>
  <c r="V62" i="12" s="1"/>
  <c r="V63" i="12" s="1"/>
  <c r="V74" i="12" s="1"/>
  <c r="V75" i="12" s="1"/>
  <c r="W10" i="12"/>
  <c r="W62" i="12" s="1"/>
  <c r="W63" i="12" s="1"/>
  <c r="W74" i="12" s="1"/>
  <c r="W75" i="12" s="1"/>
  <c r="X10" i="12"/>
  <c r="X62" i="12" s="1"/>
  <c r="X63" i="12" s="1"/>
  <c r="X74" i="12" s="1"/>
  <c r="X75" i="12" s="1"/>
  <c r="Y10" i="12"/>
  <c r="Y62" i="12" s="1"/>
  <c r="Y63" i="12" s="1"/>
  <c r="Y74" i="12" s="1"/>
  <c r="Y75" i="12" s="1"/>
  <c r="Z10" i="12"/>
  <c r="Z62" i="12" s="1"/>
  <c r="Z63" i="12" s="1"/>
  <c r="Z74" i="12" s="1"/>
  <c r="Z75" i="12" s="1"/>
  <c r="AA10" i="12"/>
  <c r="AA62" i="12" s="1"/>
  <c r="AA63" i="12" s="1"/>
  <c r="AA74" i="12" s="1"/>
  <c r="AA75" i="12" s="1"/>
  <c r="AB10" i="12"/>
  <c r="AB62" i="12" s="1"/>
  <c r="AB63" i="12" s="1"/>
  <c r="AB74" i="12" s="1"/>
  <c r="AB75" i="12" s="1"/>
  <c r="AC10" i="12"/>
  <c r="AC62" i="12" s="1"/>
  <c r="AC63" i="12" s="1"/>
  <c r="AC74" i="12" s="1"/>
  <c r="AC75" i="12" s="1"/>
  <c r="AD10" i="12"/>
  <c r="AD62" i="12" s="1"/>
  <c r="AD63" i="12" s="1"/>
  <c r="AD74" i="12" s="1"/>
  <c r="AD75" i="12" s="1"/>
  <c r="AE10" i="12"/>
  <c r="AE62" i="12" s="1"/>
  <c r="AE63" i="12" s="1"/>
  <c r="AE74" i="12" s="1"/>
  <c r="AE75" i="12" s="1"/>
  <c r="AF10" i="12"/>
  <c r="AF62" i="12" s="1"/>
  <c r="AF63" i="12" s="1"/>
  <c r="AF74" i="12" s="1"/>
  <c r="AF75" i="12" s="1"/>
  <c r="AG10" i="12"/>
  <c r="AG62" i="12" s="1"/>
  <c r="AG63" i="12" s="1"/>
  <c r="AG74" i="12" s="1"/>
  <c r="AG75" i="12" s="1"/>
  <c r="AH10" i="12"/>
  <c r="AH62" i="12" s="1"/>
  <c r="AH63" i="12" s="1"/>
  <c r="AH74" i="12" s="1"/>
  <c r="AH75" i="12" s="1"/>
  <c r="AI10" i="12"/>
  <c r="AI62" i="12" s="1"/>
  <c r="AI63" i="12" s="1"/>
  <c r="AI74" i="12" s="1"/>
  <c r="AI75" i="12" s="1"/>
  <c r="AJ10" i="12"/>
  <c r="AJ62" i="12" s="1"/>
  <c r="AJ63" i="12" s="1"/>
  <c r="AJ74" i="12" s="1"/>
  <c r="AJ75" i="12" s="1"/>
  <c r="AK10" i="12"/>
  <c r="AK62" i="12" s="1"/>
  <c r="AK63" i="12" s="1"/>
  <c r="AK74" i="12" s="1"/>
  <c r="AK75" i="12" s="1"/>
  <c r="AL10" i="12"/>
  <c r="AL62" i="12" s="1"/>
  <c r="AL63" i="12" s="1"/>
  <c r="AL74" i="12" s="1"/>
  <c r="AL75" i="12" s="1"/>
  <c r="AM10" i="12"/>
  <c r="AM62" i="12" s="1"/>
  <c r="AM63" i="12" s="1"/>
  <c r="AM74" i="12" s="1"/>
  <c r="AM75" i="12" s="1"/>
  <c r="AN10" i="12"/>
  <c r="AN62" i="12" s="1"/>
  <c r="AN63" i="12" s="1"/>
  <c r="AN74" i="12" s="1"/>
  <c r="AN75" i="12" s="1"/>
  <c r="AO10" i="12"/>
  <c r="AO62" i="12" s="1"/>
  <c r="AO63" i="12" s="1"/>
  <c r="AO74" i="12" s="1"/>
  <c r="AO75" i="12" s="1"/>
  <c r="AP10" i="12"/>
  <c r="AP62" i="12" s="1"/>
  <c r="AP63" i="12" s="1"/>
  <c r="AP74" i="12" s="1"/>
  <c r="AP75" i="12" s="1"/>
  <c r="AQ10" i="12"/>
  <c r="AQ62" i="12" s="1"/>
  <c r="AQ63" i="12" s="1"/>
  <c r="AQ74" i="12" s="1"/>
  <c r="AQ75" i="12" s="1"/>
  <c r="AR10" i="12"/>
  <c r="AR62" i="12" s="1"/>
  <c r="AR63" i="12" s="1"/>
  <c r="AR74" i="12" s="1"/>
  <c r="AR75" i="12" s="1"/>
  <c r="AS10" i="12"/>
  <c r="AS62" i="12" s="1"/>
  <c r="AS63" i="12" s="1"/>
  <c r="AS74" i="12" s="1"/>
  <c r="AS75" i="12" s="1"/>
  <c r="O10" i="12"/>
  <c r="O62" i="12" s="1"/>
  <c r="O63" i="12" s="1"/>
  <c r="O74" i="12" s="1"/>
  <c r="O75" i="12" s="1"/>
  <c r="D12" i="12"/>
  <c r="D59" i="12" s="1"/>
  <c r="E56" i="7" s="1"/>
  <c r="E34" i="12"/>
  <c r="E36" i="12"/>
  <c r="E38" i="12"/>
  <c r="E40" i="12"/>
  <c r="E42" i="12"/>
  <c r="E44" i="12"/>
  <c r="E46" i="12"/>
  <c r="E18" i="12"/>
  <c r="E20" i="12"/>
  <c r="E22" i="12"/>
  <c r="E24" i="12"/>
  <c r="E26" i="12"/>
  <c r="E28" i="12"/>
  <c r="D8" i="12"/>
  <c r="D7" i="12"/>
  <c r="J12" i="1"/>
  <c r="J15" i="1"/>
  <c r="D79" i="12" l="1"/>
  <c r="D85" i="12"/>
  <c r="J16" i="1"/>
  <c r="D21" i="12"/>
  <c r="D35" i="12"/>
  <c r="D29" i="12"/>
  <c r="D43" i="12"/>
  <c r="D27" i="12"/>
  <c r="D19" i="12"/>
  <c r="D41" i="12"/>
  <c r="D55" i="12"/>
  <c r="D82" i="12"/>
  <c r="C64" i="7" s="1"/>
  <c r="D25" i="12"/>
  <c r="D47" i="12"/>
  <c r="D39" i="12"/>
  <c r="D23" i="12"/>
  <c r="D45" i="12"/>
  <c r="D37" i="12"/>
  <c r="C68" i="7"/>
  <c r="F70" i="7"/>
  <c r="D33" i="14" l="1"/>
  <c r="C96" i="7" s="1"/>
  <c r="D29" i="14"/>
  <c r="C4" i="14"/>
  <c r="D68" i="7"/>
  <c r="D86" i="12"/>
  <c r="E70" i="7"/>
  <c r="D75" i="7"/>
  <c r="C75" i="7"/>
  <c r="C69" i="7"/>
  <c r="E75" i="7"/>
  <c r="D70" i="7"/>
  <c r="E68" i="7"/>
  <c r="D69" i="7"/>
  <c r="E69" i="7"/>
  <c r="C70" i="7"/>
  <c r="E51" i="7"/>
  <c r="E54" i="7"/>
  <c r="E53" i="7"/>
  <c r="E52" i="7"/>
  <c r="C3" i="3"/>
  <c r="C108" i="7" s="1"/>
  <c r="H39" i="1" l="1"/>
  <c r="C95" i="7"/>
  <c r="F119" i="7"/>
  <c r="F115" i="7"/>
  <c r="D115" i="7"/>
  <c r="D119" i="7"/>
  <c r="E115" i="7"/>
  <c r="E119" i="7"/>
  <c r="L9" i="12"/>
  <c r="M9" i="12"/>
  <c r="M10" i="12" s="1"/>
  <c r="N9" i="12"/>
  <c r="N10" i="12" s="1"/>
  <c r="N62" i="12" s="1"/>
  <c r="N63" i="12" s="1"/>
  <c r="G9" i="12"/>
  <c r="G10" i="12" s="1"/>
  <c r="Q50" i="12"/>
  <c r="Q51" i="12" s="1"/>
  <c r="R50" i="12"/>
  <c r="R51" i="12" s="1"/>
  <c r="S50" i="12"/>
  <c r="S51" i="12" s="1"/>
  <c r="T50" i="12"/>
  <c r="T51" i="12" s="1"/>
  <c r="U50" i="12"/>
  <c r="U51" i="12" s="1"/>
  <c r="V50" i="12"/>
  <c r="V51" i="12" s="1"/>
  <c r="W50" i="12"/>
  <c r="W51" i="12" s="1"/>
  <c r="X50" i="12"/>
  <c r="X51" i="12" s="1"/>
  <c r="Y50" i="12"/>
  <c r="Y51" i="12" s="1"/>
  <c r="Z50" i="12"/>
  <c r="Z51" i="12" s="1"/>
  <c r="AA50" i="12"/>
  <c r="AA51" i="12" s="1"/>
  <c r="AB50" i="12"/>
  <c r="AB51" i="12" s="1"/>
  <c r="AC50" i="12"/>
  <c r="AC51" i="12" s="1"/>
  <c r="E51" i="12"/>
  <c r="P9" i="12"/>
  <c r="Q9" i="12"/>
  <c r="R9" i="12"/>
  <c r="O9" i="12"/>
  <c r="N74" i="12" l="1"/>
  <c r="N75" i="12" s="1"/>
  <c r="E75" i="12" s="1"/>
  <c r="D76" i="12" s="1"/>
  <c r="D80" i="12" s="1"/>
  <c r="C63" i="7" s="1"/>
  <c r="D24" i="1" s="1"/>
  <c r="E63" i="12"/>
  <c r="D52" i="12"/>
  <c r="E55" i="7" s="1"/>
  <c r="L11" i="12"/>
  <c r="L10" i="12"/>
  <c r="G11" i="12"/>
  <c r="D9" i="12"/>
  <c r="N11" i="12"/>
  <c r="N69" i="12" s="1"/>
  <c r="N70" i="12" s="1"/>
  <c r="E70" i="12" s="1"/>
  <c r="M11" i="12"/>
  <c r="D64" i="12" l="1"/>
  <c r="D71" i="12"/>
  <c r="D72" i="12" s="1"/>
  <c r="D65" i="12" l="1"/>
  <c r="D66" i="12" s="1"/>
  <c r="E57" i="7" s="1"/>
  <c r="E60" i="7"/>
  <c r="E59" i="7"/>
  <c r="E58" i="7"/>
  <c r="F24" i="1"/>
  <c r="C119" i="7"/>
  <c r="C115" i="7"/>
  <c r="F106" i="7"/>
  <c r="E106" i="7"/>
  <c r="D106" i="7"/>
  <c r="D116" i="7" s="1"/>
  <c r="C106" i="7"/>
  <c r="F105" i="7"/>
  <c r="E105" i="7"/>
  <c r="D105" i="7"/>
  <c r="C105" i="7"/>
  <c r="E129" i="7" l="1"/>
  <c r="F129" i="7"/>
  <c r="C129" i="7"/>
  <c r="G129" i="7"/>
  <c r="D129" i="7"/>
  <c r="E120" i="7"/>
  <c r="E116" i="7"/>
  <c r="F120" i="7"/>
  <c r="F116" i="7"/>
  <c r="C120" i="7"/>
  <c r="C116" i="7"/>
  <c r="D120" i="7"/>
  <c r="D60" i="7"/>
  <c r="D59" i="7"/>
  <c r="C60" i="7"/>
  <c r="C59" i="7"/>
  <c r="F22" i="1" l="1"/>
  <c r="F23" i="1" s="1"/>
  <c r="F27" i="1" l="1"/>
  <c r="F28" i="1"/>
  <c r="F36" i="1"/>
  <c r="L24" i="1"/>
  <c r="D124" i="7" l="1"/>
  <c r="D128" i="7" s="1"/>
  <c r="F40" i="1"/>
  <c r="F46" i="1"/>
  <c r="F31" i="1"/>
  <c r="F34" i="1" s="1"/>
  <c r="F43" i="1" s="1"/>
  <c r="F51" i="1" s="1"/>
  <c r="C4" i="16" s="1"/>
  <c r="G80" i="7"/>
  <c r="F41" i="1" l="1"/>
  <c r="D126" i="7" s="1"/>
  <c r="D130" i="7" s="1"/>
  <c r="D123" i="7"/>
  <c r="D127" i="7" s="1"/>
  <c r="H31" i="1"/>
  <c r="F25" i="1"/>
  <c r="F14" i="1"/>
  <c r="D131" i="7" l="1"/>
  <c r="F52" i="1" s="1"/>
  <c r="C5" i="16" s="1"/>
  <c r="F50" i="1"/>
  <c r="C3" i="16" s="1"/>
  <c r="J20" i="1"/>
  <c r="E2" i="16" s="1"/>
  <c r="C6" i="16" l="1"/>
  <c r="J39" i="1"/>
  <c r="J37" i="1"/>
  <c r="J33" i="1"/>
  <c r="J32" i="1"/>
  <c r="F53" i="1"/>
  <c r="F56" i="1" s="1"/>
  <c r="J31" i="1"/>
  <c r="D31" i="1"/>
  <c r="J24" i="1"/>
  <c r="H22" i="1" l="1"/>
  <c r="H23" i="1" s="1"/>
  <c r="L22" i="1"/>
  <c r="L23" i="1" s="1"/>
  <c r="J22" i="1"/>
  <c r="J23" i="1" s="1"/>
  <c r="D22" i="1"/>
  <c r="D23" i="1" s="1"/>
  <c r="D25" i="1" s="1"/>
  <c r="D27" i="1" l="1"/>
  <c r="L36" i="1"/>
  <c r="L28" i="1"/>
  <c r="L27" i="1"/>
  <c r="H27" i="1"/>
  <c r="H36" i="1"/>
  <c r="H28" i="1"/>
  <c r="J28" i="1"/>
  <c r="J27" i="1"/>
  <c r="J36" i="1"/>
  <c r="D28" i="1"/>
  <c r="D36" i="1"/>
  <c r="E124" i="7" l="1"/>
  <c r="E128" i="7" s="1"/>
  <c r="F124" i="7"/>
  <c r="F128" i="7" s="1"/>
  <c r="C124" i="7"/>
  <c r="C128" i="7" s="1"/>
  <c r="G124" i="7"/>
  <c r="G128" i="7" s="1"/>
  <c r="H34" i="1"/>
  <c r="E123" i="7" s="1"/>
  <c r="E127" i="7" s="1"/>
  <c r="D34" i="1"/>
  <c r="D43" i="1" s="1"/>
  <c r="D51" i="1" s="1"/>
  <c r="B4" i="16" s="1"/>
  <c r="L34" i="1"/>
  <c r="J34" i="1"/>
  <c r="J48" i="1"/>
  <c r="H47" i="1"/>
  <c r="J47" i="1"/>
  <c r="D50" i="1"/>
  <c r="B3" i="16" s="1"/>
  <c r="L46" i="1"/>
  <c r="L40" i="1"/>
  <c r="L41" i="1" s="1"/>
  <c r="L48" i="1"/>
  <c r="L47" i="1"/>
  <c r="H46" i="1"/>
  <c r="H40" i="1"/>
  <c r="H41" i="1" s="1"/>
  <c r="H48" i="1"/>
  <c r="J46" i="1"/>
  <c r="J40" i="1"/>
  <c r="D46" i="1"/>
  <c r="D40" i="1"/>
  <c r="D47" i="1"/>
  <c r="D48" i="1"/>
  <c r="H45" i="1"/>
  <c r="J45" i="1"/>
  <c r="L45" i="1"/>
  <c r="D45" i="1"/>
  <c r="H24" i="1"/>
  <c r="J41" i="1" l="1"/>
  <c r="F126" i="7" s="1"/>
  <c r="F130" i="7" s="1"/>
  <c r="D41" i="1"/>
  <c r="C126" i="7" s="1"/>
  <c r="C130" i="7" s="1"/>
  <c r="L43" i="1"/>
  <c r="L51" i="1" s="1"/>
  <c r="F4" i="16" s="1"/>
  <c r="G123" i="7"/>
  <c r="G127" i="7" s="1"/>
  <c r="H43" i="1"/>
  <c r="H51" i="1" s="1"/>
  <c r="D4" i="16" s="1"/>
  <c r="F123" i="7"/>
  <c r="F127" i="7" s="1"/>
  <c r="J43" i="1"/>
  <c r="J51" i="1" s="1"/>
  <c r="E4" i="16" s="1"/>
  <c r="C123" i="7"/>
  <c r="C127" i="7" s="1"/>
  <c r="E126" i="7"/>
  <c r="E130" i="7" s="1"/>
  <c r="E131" i="7" s="1"/>
  <c r="H52" i="1" s="1"/>
  <c r="D5" i="16" s="1"/>
  <c r="G126" i="7"/>
  <c r="G130" i="7" s="1"/>
  <c r="B67" i="1"/>
  <c r="F131" i="7" l="1"/>
  <c r="J52" i="1" s="1"/>
  <c r="E5" i="16" s="1"/>
  <c r="C131" i="7"/>
  <c r="D52" i="1" s="1"/>
  <c r="G131" i="7"/>
  <c r="L52" i="1" s="1"/>
  <c r="F5" i="16" s="1"/>
  <c r="L25" i="1"/>
  <c r="L50" i="1" s="1"/>
  <c r="F3" i="16" s="1"/>
  <c r="F6" i="16" s="1"/>
  <c r="J25" i="1"/>
  <c r="J50" i="1" s="1"/>
  <c r="E3" i="16" s="1"/>
  <c r="E6" i="16" l="1"/>
  <c r="D53" i="1"/>
  <c r="D56" i="1" s="1"/>
  <c r="B5" i="16"/>
  <c r="B6" i="16" s="1"/>
  <c r="J53" i="1"/>
  <c r="J56" i="1" s="1"/>
  <c r="L53" i="1"/>
  <c r="L56" i="1" s="1"/>
  <c r="H25" i="1"/>
  <c r="H50" i="1" s="1"/>
  <c r="H53" i="1" l="1"/>
  <c r="H56" i="1" s="1"/>
  <c r="D3" i="16"/>
  <c r="D6" i="16" s="1"/>
  <c r="J57" i="1"/>
  <c r="L57" i="1"/>
  <c r="F57" i="1" l="1"/>
  <c r="E7" i="16"/>
  <c r="B8" i="16" s="1"/>
  <c r="C8" i="16" s="1"/>
  <c r="D8" i="16" s="1"/>
  <c r="E8" i="16" s="1"/>
  <c r="F8" i="16" s="1"/>
  <c r="H57" i="1" l="1"/>
  <c r="D57" i="1"/>
  <c r="J58" i="1" l="1"/>
  <c r="L58" i="1"/>
</calcChain>
</file>

<file path=xl/sharedStrings.xml><?xml version="1.0" encoding="utf-8"?>
<sst xmlns="http://schemas.openxmlformats.org/spreadsheetml/2006/main" count="1074" uniqueCount="678">
  <si>
    <t>Gebäudedaten</t>
  </si>
  <si>
    <t>Gebäudekategorie</t>
  </si>
  <si>
    <t>02 Wohnen EFH</t>
  </si>
  <si>
    <t>Umbau</t>
  </si>
  <si>
    <t>kW</t>
  </si>
  <si>
    <t>Nutzenergiebedarf</t>
  </si>
  <si>
    <t>kWh/a</t>
  </si>
  <si>
    <t>01 Wohnen MFH</t>
  </si>
  <si>
    <t>03 Verwaltung</t>
  </si>
  <si>
    <t>04 Schulen</t>
  </si>
  <si>
    <t>05 Verkauf</t>
  </si>
  <si>
    <t>06 Restaurants</t>
  </si>
  <si>
    <t>07 Versammlungslokale</t>
  </si>
  <si>
    <t>08 Spitäler</t>
  </si>
  <si>
    <t>09 Industrie</t>
  </si>
  <si>
    <t>10 Lager</t>
  </si>
  <si>
    <t>11 Sportbauten</t>
  </si>
  <si>
    <t>12 Hallenbäder</t>
  </si>
  <si>
    <t>Art de Bauvorhabens</t>
  </si>
  <si>
    <t>Neubau</t>
  </si>
  <si>
    <t>Betriebszeit</t>
  </si>
  <si>
    <t>h/d</t>
  </si>
  <si>
    <t>Ti</t>
  </si>
  <si>
    <t>°C</t>
  </si>
  <si>
    <t>Ta</t>
  </si>
  <si>
    <t>Alternative Systeme</t>
  </si>
  <si>
    <t>Fossile Heizung</t>
  </si>
  <si>
    <t>Vergleich Heizungssysteme</t>
  </si>
  <si>
    <t>WP-Luft</t>
  </si>
  <si>
    <t>Oelheizung</t>
  </si>
  <si>
    <t>Heizungssystem</t>
  </si>
  <si>
    <t>Nutzungsgrad / JAZ</t>
  </si>
  <si>
    <t>-</t>
  </si>
  <si>
    <t>Energiebedarf</t>
  </si>
  <si>
    <t>Rp/kWh</t>
  </si>
  <si>
    <t>Jahreskosten für Energie</t>
  </si>
  <si>
    <t>Fr.</t>
  </si>
  <si>
    <t>Spezifische Raumkosten</t>
  </si>
  <si>
    <t>Total Raumkosten</t>
  </si>
  <si>
    <t>Wartung und Unterhalt</t>
  </si>
  <si>
    <t>Berechnungsgrundlagen</t>
  </si>
  <si>
    <t>Betrachtungsdauer</t>
  </si>
  <si>
    <t>Jahre</t>
  </si>
  <si>
    <t>Kalkulationszinssatz</t>
  </si>
  <si>
    <t>%</t>
  </si>
  <si>
    <t>Kostensteigerung Energiepreise</t>
  </si>
  <si>
    <t>Kostensteigerung Wartung und Unterhalt</t>
  </si>
  <si>
    <t>Energiekosten</t>
  </si>
  <si>
    <t>Kapitalkosten</t>
  </si>
  <si>
    <t>Total Jahreskosten</t>
  </si>
  <si>
    <t>Ergebnis</t>
  </si>
  <si>
    <t>Mittl. Wärmegestehungskosten (Nutzenergie)</t>
  </si>
  <si>
    <t>Vergleich</t>
  </si>
  <si>
    <t>Fossile Anlage zulässig</t>
  </si>
  <si>
    <t>Heizungssysteme</t>
  </si>
  <si>
    <t>Holz-Pellets</t>
  </si>
  <si>
    <t>Holz-Schnitzel</t>
  </si>
  <si>
    <t>WP-Sonde</t>
  </si>
  <si>
    <t>WP-Wasser</t>
  </si>
  <si>
    <t>Gasheizung</t>
  </si>
  <si>
    <t>WP-Absorpt.</t>
  </si>
  <si>
    <t>WP-Zeolyth</t>
  </si>
  <si>
    <t>Fernwärme</t>
  </si>
  <si>
    <t>Spezifische Raumkosten [Fr./m3]</t>
  </si>
  <si>
    <t>Betrachtungsdauer [Jahre]</t>
  </si>
  <si>
    <t>Annuität</t>
  </si>
  <si>
    <t>Kalkulationszinssatz [%]</t>
  </si>
  <si>
    <t>Kalkulationszinsatz</t>
  </si>
  <si>
    <t>Jährliche Kostensteigerung Energiepreise [%]</t>
  </si>
  <si>
    <t>Jährliche Kostensteigerung Wartung/Unterhalt [%]</t>
  </si>
  <si>
    <t>Faktor Energiepreissteigerung</t>
  </si>
  <si>
    <t>Faktor Kostensteigerung Wartung/Unterhalt</t>
  </si>
  <si>
    <t>Total Raumkosten (5.4)</t>
  </si>
  <si>
    <t>Total Kapitalkosten</t>
  </si>
  <si>
    <t>2.1 Nutzungsgrad / JAZ</t>
  </si>
  <si>
    <t>2.3 Energiepreise [Rp/kWh]</t>
  </si>
  <si>
    <t>1.1 Gebäudekategorien</t>
  </si>
  <si>
    <t>Nr.</t>
  </si>
  <si>
    <t>Name</t>
  </si>
  <si>
    <t>Quelle</t>
  </si>
  <si>
    <t>Energiepreise (Strom)</t>
  </si>
  <si>
    <t>Energiepreise (Holz-Schnitzel)</t>
  </si>
  <si>
    <t>Ist ein Anschluss an Fernwärme möglich?</t>
  </si>
  <si>
    <t>Ja</t>
  </si>
  <si>
    <t>Nein</t>
  </si>
  <si>
    <r>
      <t>Energiepreis (inkl. MWST und CO</t>
    </r>
    <r>
      <rPr>
        <vertAlign val="subscript"/>
        <sz val="9"/>
        <rFont val="Arial"/>
        <family val="2"/>
      </rPr>
      <t>2</t>
    </r>
    <r>
      <rPr>
        <sz val="9"/>
        <rFont val="Arial"/>
        <family val="2"/>
      </rPr>
      <t>-Abgabe)</t>
    </r>
  </si>
  <si>
    <t>Total Installationskosten (inkl. Förderung)</t>
  </si>
  <si>
    <t>plus klein [Fr./kW]</t>
  </si>
  <si>
    <t>fix klein [Fr.]</t>
  </si>
  <si>
    <t>fix gross [Fr.]</t>
  </si>
  <si>
    <t>plus gross [Fr./kW]</t>
  </si>
  <si>
    <r>
      <t>ab 500 kW</t>
    </r>
    <r>
      <rPr>
        <vertAlign val="subscript"/>
        <sz val="9"/>
        <color theme="1"/>
        <rFont val="Arial"/>
        <family val="2"/>
      </rPr>
      <t xml:space="preserve">th </t>
    </r>
    <r>
      <rPr>
        <sz val="9"/>
        <color theme="1"/>
        <rFont val="Arial"/>
        <family val="2"/>
      </rPr>
      <t>[Fr.]</t>
    </r>
  </si>
  <si>
    <r>
      <t>300-500 kW</t>
    </r>
    <r>
      <rPr>
        <vertAlign val="subscript"/>
        <sz val="9"/>
        <color theme="1"/>
        <rFont val="Arial"/>
        <family val="2"/>
      </rPr>
      <t xml:space="preserve">th </t>
    </r>
    <r>
      <rPr>
        <sz val="9"/>
        <color theme="1"/>
        <rFont val="Arial"/>
        <family val="2"/>
      </rPr>
      <t>[Fr. pro kW</t>
    </r>
    <r>
      <rPr>
        <vertAlign val="subscript"/>
        <sz val="9"/>
        <color theme="1"/>
        <rFont val="Arial"/>
        <family val="2"/>
      </rPr>
      <t>th</t>
    </r>
    <r>
      <rPr>
        <sz val="9"/>
        <color theme="1"/>
        <rFont val="Arial"/>
        <family val="2"/>
      </rPr>
      <t>]</t>
    </r>
  </si>
  <si>
    <r>
      <t>ab 500 kW</t>
    </r>
    <r>
      <rPr>
        <vertAlign val="subscript"/>
        <sz val="9"/>
        <color theme="1"/>
        <rFont val="Arial"/>
        <family val="2"/>
      </rPr>
      <t xml:space="preserve">th </t>
    </r>
    <r>
      <rPr>
        <sz val="9"/>
        <color theme="1"/>
        <rFont val="Arial"/>
        <family val="2"/>
      </rPr>
      <t>[Fr. pro kW</t>
    </r>
    <r>
      <rPr>
        <vertAlign val="subscript"/>
        <sz val="9"/>
        <color theme="1"/>
        <rFont val="Arial"/>
        <family val="2"/>
      </rPr>
      <t>th</t>
    </r>
    <r>
      <rPr>
        <sz val="9"/>
        <color theme="1"/>
        <rFont val="Arial"/>
        <family val="2"/>
      </rPr>
      <t>]</t>
    </r>
  </si>
  <si>
    <t>Holz-Pellets / Holz-Schnitzel</t>
  </si>
  <si>
    <t>WP-Sonde / WP-Wasser</t>
  </si>
  <si>
    <t>Zusatzbeitrag Erstinstallation Wärmeverteilsystem [Fr.]</t>
  </si>
  <si>
    <t>Investitionskosten (Amortisationszeit 20 Jahre)</t>
  </si>
  <si>
    <t>Investitionskosten (Amortisationszeit 40 Jahre)</t>
  </si>
  <si>
    <t>2.1/2.3/6.1</t>
  </si>
  <si>
    <t>6.1 Wartung und Unterhalt [%]</t>
  </si>
  <si>
    <t>Erdwärmesonde, Elektrozuleitung (4.1)</t>
  </si>
  <si>
    <t>Total Installationskosten (3.5)</t>
  </si>
  <si>
    <t>Total Installationskosten auf 20 Jahre</t>
  </si>
  <si>
    <t>Total</t>
  </si>
  <si>
    <t>Energiepreise</t>
  </si>
  <si>
    <t>Durchschnitt letzte vier Jahre</t>
  </si>
  <si>
    <t>m²</t>
  </si>
  <si>
    <t>m³</t>
  </si>
  <si>
    <t>Fr./m³</t>
  </si>
  <si>
    <t>Nutzenergiebedarf (Berechnung oder gemäss Nachweis)</t>
  </si>
  <si>
    <t>Falls Fernwärme möglich, welcher Anbieter?</t>
  </si>
  <si>
    <t>Anschluss an Fernwärme</t>
  </si>
  <si>
    <t>Fernwärme Anbieter</t>
  </si>
  <si>
    <t>Winterthur</t>
  </si>
  <si>
    <t>Nutzungsgrad / JAZ (Standardwert / Nachweis)</t>
  </si>
  <si>
    <t>Raumbedarf (Standardwert / Nachweis)</t>
  </si>
  <si>
    <t>Jährliche Wartung und Unterhalt</t>
  </si>
  <si>
    <t>Kosten (Standardwert / Nachweis)</t>
  </si>
  <si>
    <t>Energiepreise Fernwärme [Rp/kWh]</t>
  </si>
  <si>
    <t>FEHLER</t>
  </si>
  <si>
    <t>Wärmeerzeugung</t>
  </si>
  <si>
    <t>Kurztext</t>
  </si>
  <si>
    <t>Text</t>
  </si>
  <si>
    <t>Ölfeuerung</t>
  </si>
  <si>
    <t>Ölheizung kondensierend</t>
  </si>
  <si>
    <t>Ölfeuerung kondensierend nur Heizung</t>
  </si>
  <si>
    <t>Ölfeuerung kondens. Warmwasser</t>
  </si>
  <si>
    <t>Ölfeuerung kondensierend nur Warmwasser</t>
  </si>
  <si>
    <t>Gasfeuerung</t>
  </si>
  <si>
    <t>Gasheizung kondensierend</t>
  </si>
  <si>
    <t>Gasfeuerung kondensierend nur Heizung</t>
  </si>
  <si>
    <t>Gas kondensierend Warmwasser</t>
  </si>
  <si>
    <t>Gasfeuerung kondensierend nur Warmwasser</t>
  </si>
  <si>
    <t>Gas - Wassererwärmer</t>
  </si>
  <si>
    <t>Holzfeuerung</t>
  </si>
  <si>
    <t>Pelletfeuerung</t>
  </si>
  <si>
    <t>Fernwärme (&lt;=50% nicht erneuerbar)</t>
  </si>
  <si>
    <t>Fernwärme (inkl. Abwärme aus KVA,ARA), &lt;=50% nicht erneuerbar</t>
  </si>
  <si>
    <t>Elektrospeicher-Zentralheizung</t>
  </si>
  <si>
    <t>Elektro direkt</t>
  </si>
  <si>
    <t>Elektro-Wassererwärmer</t>
  </si>
  <si>
    <t>WKK - thermischer+elektr. Anteil</t>
  </si>
  <si>
    <t>WKK (fossil) - thermischer + elektrischer Anteil</t>
  </si>
  <si>
    <t>WKK Holz - therm.+elektr. Anteil</t>
  </si>
  <si>
    <t>WKK (Holz) - thermischer + elektrischer Anteil</t>
  </si>
  <si>
    <t>Luft-Wärmepumpe, Heizung</t>
  </si>
  <si>
    <t>Wärmepumpe Aussenluft, nur Heizung</t>
  </si>
  <si>
    <t>Luft-Wärmepumpe, Warmwasser</t>
  </si>
  <si>
    <t>Wärmepumpe, Aussenluft, nur Warmwasser</t>
  </si>
  <si>
    <t>Erdsonden-WP, Heizung</t>
  </si>
  <si>
    <t>Wärmepumpe, Erdwärmesonde, nur Heizung</t>
  </si>
  <si>
    <t>Erdsonden-WP, Warmwasser</t>
  </si>
  <si>
    <t>Wärmepumpe, Erdwärmesonde, nur Warmwasser</t>
  </si>
  <si>
    <t>Abwasser-WP (direkt), Heizung</t>
  </si>
  <si>
    <t>Wärmepumpe, Abwasser, nur Heizung</t>
  </si>
  <si>
    <t>Abwasser-WP direkt, Warmwasser</t>
  </si>
  <si>
    <t>Wärmepumpe, Abwasser, nur Warmwasser</t>
  </si>
  <si>
    <t>Wasser-Wärmepumpe, Heizung</t>
  </si>
  <si>
    <t>Wasser-Wärmepumpe, nur Heizung</t>
  </si>
  <si>
    <t>Wasser-WP, Warmwasser</t>
  </si>
  <si>
    <t>Wasser-Wärmepumpe, nur Warmwasser</t>
  </si>
  <si>
    <t>Grundwasser-WP direkt, Heizung</t>
  </si>
  <si>
    <t>Wärmepumpe, Grundwasser, direkt, nur Heizung</t>
  </si>
  <si>
    <t>Grundwasser-WP dir. Warmwasser</t>
  </si>
  <si>
    <t>Wärmepumpe, Grundwasser, direkt, nur Warmwasser</t>
  </si>
  <si>
    <t>Grundwasser-WP, indir, Heizung</t>
  </si>
  <si>
    <t>Wärmepumpe, Grundwasser, indirekt, nur Heizung</t>
  </si>
  <si>
    <t>Grundwasser-WP, indir, Warmw.</t>
  </si>
  <si>
    <t>Wärmepumpe, Grundwasser, indirekt, nur Warmwaser</t>
  </si>
  <si>
    <t>Erdregister-WP, Heizung</t>
  </si>
  <si>
    <t>Wärmepumpe Erdregister, nur Heizung</t>
  </si>
  <si>
    <t>Erdregister-WP, Warmwasser</t>
  </si>
  <si>
    <t>Wärmepumpe Erdregister, nur Warmwasser</t>
  </si>
  <si>
    <t>Solarenergie thermisch, Heizung</t>
  </si>
  <si>
    <t>Solarenergie thermisch, nur Heizung</t>
  </si>
  <si>
    <t>Solarenergie therm. Warmwasser</t>
  </si>
  <si>
    <t>Solarenergie thermisch, nur Warmwasser</t>
  </si>
  <si>
    <t>Solarenergie Heizung + WW</t>
  </si>
  <si>
    <t>Solarenergie thermisch, Heizung + WW</t>
  </si>
  <si>
    <t>Warmhaltebänder</t>
  </si>
  <si>
    <t>Abwärme aus Klimakälte</t>
  </si>
  <si>
    <t>Abwärme aus Gewerbekälte oder EDV</t>
  </si>
  <si>
    <t>Ab- / Zuluft-WP + WRG</t>
  </si>
  <si>
    <t>Lüftungsgerät mit Abluft / Zuluft - Wärmepumpe plus WRG</t>
  </si>
  <si>
    <t>Ab- / Zuluft-WP ohne WRG</t>
  </si>
  <si>
    <t>Lüftungsgerät mit Abluft / Zuluft - Wärmepumpe ohne WRG</t>
  </si>
  <si>
    <t>Abluft-Wärmepumpe ohne ZUL</t>
  </si>
  <si>
    <t>Lüftungsgerät mit Abluft-Wärmepumpe (keine Zuluft)</t>
  </si>
  <si>
    <t>Kompakt-WP + WRG</t>
  </si>
  <si>
    <t>Kompakt-WP mit Zu- &amp; Abluft / WW plus WRG</t>
  </si>
  <si>
    <t>Kompakt-WP ohne WRG, Heizteil</t>
  </si>
  <si>
    <t>Kompakt-WP mit Zu- &amp; Abluft / WW ohne WRG (nur Heizung)</t>
  </si>
  <si>
    <t>Kompakt-WP ohne WRG, WW</t>
  </si>
  <si>
    <t>Kompakt-WP mit Zu- &amp; Abluft / WW ohne WRG (nur WW)</t>
  </si>
  <si>
    <t>Biomasse, eingebunden</t>
  </si>
  <si>
    <t>Biomasse, hydraulisch eingebunden</t>
  </si>
  <si>
    <t>Fernwärme (&gt;75% nicht erneuerbar)</t>
  </si>
  <si>
    <t>Fernwärme (inkl. Abwärme aus KVA,ARA), &gt;75% nicht erneuerbar</t>
  </si>
  <si>
    <t>Fernwärme (&lt;=75% nicht erneuerbar)</t>
  </si>
  <si>
    <t>Fernwärme (inkl. Abwärme aus KVA,ARA), &lt;=75% nicht erneuerbar</t>
  </si>
  <si>
    <t>Fernwärme (&lt;=25% nicht erneuerbar)</t>
  </si>
  <si>
    <t>Fernwärme (inkl. Abwärme aus KVA,ARA), &lt;=25% nicht erneuerbar</t>
  </si>
  <si>
    <t>Gaswärmepumpe, Heizung</t>
  </si>
  <si>
    <t>Gaswärmepumpe, nur Heizung</t>
  </si>
  <si>
    <t>Gaswärmepumpe, Warmwasser</t>
  </si>
  <si>
    <t>Gaswärmepumpe, nur Warmwasser</t>
  </si>
  <si>
    <t>Standard</t>
  </si>
  <si>
    <t>Maximal</t>
  </si>
  <si>
    <t>2.1 Nutzungsgrad / JAZ Maximal</t>
  </si>
  <si>
    <t>Formel</t>
  </si>
  <si>
    <t>(manuelle Eingabe)</t>
  </si>
  <si>
    <t>Tsd. Fr.</t>
  </si>
  <si>
    <t>Total Raumkosten auf 40 Jahre (5.4)</t>
  </si>
  <si>
    <t>Formular gültig bis:</t>
  </si>
  <si>
    <t>Raumkosten (Amortisationszeit 40 Jahre)</t>
  </si>
  <si>
    <t>Wärmeerzeuger, Warmwassererwärmer, Regelung, Brennstofflager, Oeltank, Abgasanlage, Umwälzpumpen, Gasleitung, Transport, Montage etc. Richtwerte können durch manuelle Eingabe übersteuert werden.</t>
  </si>
  <si>
    <t>Heizleistungsbedarf</t>
  </si>
  <si>
    <t>Heizgradtage Zürich Fluntern (Klimastation SMA, MeteoSchweiz)</t>
  </si>
  <si>
    <t>2. Heizungssysteme</t>
  </si>
  <si>
    <t>Energiebezugsfläche</t>
  </si>
  <si>
    <t>Energiepreise (Heizöl, Gas, Holz-Pellets)</t>
  </si>
  <si>
    <t>https://www.bfs.admin.ch/bfs/de/home/statistiken/preise/landesindex-konsumentenpreise/detailresultate.assetdetail.13407088.html</t>
  </si>
  <si>
    <t>Amortisationszeit (paritätische Lebensdauertabelle)</t>
  </si>
  <si>
    <t>https://intern.mieterverband.ch/ldt/objekte.php?Gid=1 (MV) oder https://ldt.innov8.ch/objekte.php?HEV=1&amp;Gid=1 (HEV)</t>
  </si>
  <si>
    <t>Investitionskosten Technik</t>
  </si>
  <si>
    <t xml:space="preserve">investitionskosten Bauseitige Arbeiten </t>
  </si>
  <si>
    <t>https://www.zh.ch/de/umwelt-tiere/energie/energiefoerderung.html</t>
  </si>
  <si>
    <t>Investitionskosten Erdwärmesonde, Elektrozuleitung</t>
  </si>
  <si>
    <t>Felder zum Auffüllen, sobald Daten verfügbar</t>
  </si>
  <si>
    <r>
      <t>Raumbedarf SIA 384/1 [m</t>
    </r>
    <r>
      <rPr>
        <b/>
        <vertAlign val="superscript"/>
        <sz val="9"/>
        <rFont val="Arial"/>
        <family val="2"/>
      </rPr>
      <t>3</t>
    </r>
    <r>
      <rPr>
        <b/>
        <sz val="9"/>
        <rFont val="Arial"/>
        <family val="2"/>
      </rPr>
      <t>]</t>
    </r>
  </si>
  <si>
    <t>Annuitätsfaktor-Prozentsatz =rmz(Zinssatz, Zeitraum, -1)</t>
  </si>
  <si>
    <t>gültig ab</t>
  </si>
  <si>
    <t>Stichtag der Erhebung</t>
  </si>
  <si>
    <t>zugrunde liegender Durchschnittszinssatz</t>
  </si>
  <si>
    <t>Kalkulationszinsatz (Referenzssinsatz gemäss VMWG): https://www.bwo.admin.ch/bwo/de/home/mietrecht/referenzzinssatz/entwicklung-referenzzinssatz-und-durchschnittszinssatz.html</t>
  </si>
  <si>
    <t>Aktueller Wert:</t>
  </si>
  <si>
    <t>https://www.bwo.admin.ch/bwo/de/home/mietrecht/referenzzinssatz/entwicklung-referenzzinssatz-und-durchschnittszinssatz.html</t>
  </si>
  <si>
    <t>Investitionskosten</t>
  </si>
  <si>
    <t>Honorare</t>
  </si>
  <si>
    <t>Leistung [kW]</t>
  </si>
  <si>
    <t>Technisches [CHF]</t>
  </si>
  <si>
    <t>Bauliches [CHF]</t>
  </si>
  <si>
    <t>Honorare [CHF]</t>
  </si>
  <si>
    <t>Leistung (range) [kW]</t>
  </si>
  <si>
    <t>3.1 Technisches</t>
  </si>
  <si>
    <t>3.1 Bauliches</t>
  </si>
  <si>
    <t>3.2 Honorare</t>
  </si>
  <si>
    <t>Stromverbraucherprofil</t>
  </si>
  <si>
    <t>1.1/1.5</t>
  </si>
  <si>
    <t>1.2 Stromverbrauchsprofil</t>
  </si>
  <si>
    <t>H6</t>
  </si>
  <si>
    <t>H7</t>
  </si>
  <si>
    <t>C7</t>
  </si>
  <si>
    <t>C3</t>
  </si>
  <si>
    <t>C4</t>
  </si>
  <si>
    <t>C5</t>
  </si>
  <si>
    <t>C6</t>
  </si>
  <si>
    <t>WP-Luft (i)</t>
  </si>
  <si>
    <t>WP-Luft (a)</t>
  </si>
  <si>
    <t>Unterschriften</t>
  </si>
  <si>
    <t>Name und Adresse bzw. Firmenstempel</t>
  </si>
  <si>
    <t>Ort, Datum, Unterschrift</t>
  </si>
  <si>
    <t>Nachweis erarbeitet durch</t>
  </si>
  <si>
    <t>Nachweisprüfung / Private Kontrolle</t>
  </si>
  <si>
    <t>Aktueller Wert</t>
  </si>
  <si>
    <r>
      <t>Durchschnitt der max. und eigentlichen CO</t>
    </r>
    <r>
      <rPr>
        <vertAlign val="subscript"/>
        <sz val="11"/>
        <rFont val="Calibri"/>
        <family val="2"/>
        <scheme val="minor"/>
      </rPr>
      <t>2</t>
    </r>
    <r>
      <rPr>
        <sz val="11"/>
        <rFont val="Calibri"/>
        <family val="2"/>
        <scheme val="minor"/>
      </rPr>
      <t>-Abgabe [Fr./t CO</t>
    </r>
    <r>
      <rPr>
        <vertAlign val="subscript"/>
        <sz val="11"/>
        <rFont val="Calibri"/>
        <family val="2"/>
        <scheme val="minor"/>
      </rPr>
      <t>2</t>
    </r>
    <r>
      <rPr>
        <sz val="11"/>
        <rFont val="Calibri"/>
        <family val="2"/>
        <scheme val="minor"/>
      </rPr>
      <t>]</t>
    </r>
  </si>
  <si>
    <t>H1</t>
  </si>
  <si>
    <t>H2</t>
  </si>
  <si>
    <t>H3</t>
  </si>
  <si>
    <t>H4</t>
  </si>
  <si>
    <t>H5</t>
  </si>
  <si>
    <t>H8</t>
  </si>
  <si>
    <t>C1</t>
  </si>
  <si>
    <t>C2</t>
  </si>
  <si>
    <t>Resultat für Berechnungsgrundlage</t>
  </si>
  <si>
    <t>Holzpellets [Rp./kWh exkl. MwSt.]</t>
  </si>
  <si>
    <t>Holzpellets [Rp./kWh inkl. aktueller MwSt.]</t>
  </si>
  <si>
    <t>bis 7</t>
  </si>
  <si>
    <t>ab 7 bis 28</t>
  </si>
  <si>
    <t>ab 28 bis 68</t>
  </si>
  <si>
    <t>ab 68 bis 190</t>
  </si>
  <si>
    <t>ab 190</t>
  </si>
  <si>
    <t>1)</t>
  </si>
  <si>
    <r>
      <t>Max. CO</t>
    </r>
    <r>
      <rPr>
        <vertAlign val="subscript"/>
        <sz val="11"/>
        <rFont val="Calibri"/>
        <family val="2"/>
        <scheme val="minor"/>
      </rPr>
      <t>2</t>
    </r>
    <r>
      <rPr>
        <sz val="11"/>
        <rFont val="Calibri"/>
        <family val="2"/>
        <scheme val="minor"/>
      </rPr>
      <t>-Abgabe laut Gesetz [Fr./t CO</t>
    </r>
    <r>
      <rPr>
        <vertAlign val="subscript"/>
        <sz val="11"/>
        <rFont val="Calibri"/>
        <family val="2"/>
        <scheme val="minor"/>
      </rPr>
      <t>2</t>
    </r>
    <r>
      <rPr>
        <sz val="11"/>
        <rFont val="Calibri"/>
        <family val="2"/>
        <scheme val="minor"/>
      </rPr>
      <t>]</t>
    </r>
    <r>
      <rPr>
        <vertAlign val="superscript"/>
        <sz val="11"/>
        <rFont val="Calibri"/>
        <family val="2"/>
        <scheme val="minor"/>
      </rPr>
      <t>1)</t>
    </r>
  </si>
  <si>
    <t>2)</t>
  </si>
  <si>
    <t>3)</t>
  </si>
  <si>
    <t>4)</t>
  </si>
  <si>
    <t>5)</t>
  </si>
  <si>
    <t>6)</t>
  </si>
  <si>
    <t>7)</t>
  </si>
  <si>
    <t>8)</t>
  </si>
  <si>
    <t>9)</t>
  </si>
  <si>
    <t>10)</t>
  </si>
  <si>
    <t>11)</t>
  </si>
  <si>
    <t>12)</t>
  </si>
  <si>
    <t>13)</t>
  </si>
  <si>
    <t>14)</t>
  </si>
  <si>
    <t>15)</t>
  </si>
  <si>
    <t>Quellen</t>
  </si>
  <si>
    <t>https://www.bafu.admin.ch/co2-abgabe, https://www.bafu.admin.ch/bafu/de/home/themen/klima/mitteilungen.msg-id-58016.html</t>
  </si>
  <si>
    <r>
      <t>CO</t>
    </r>
    <r>
      <rPr>
        <vertAlign val="subscript"/>
        <sz val="11"/>
        <rFont val="Calibri"/>
        <family val="2"/>
        <scheme val="minor"/>
      </rPr>
      <t>2</t>
    </r>
    <r>
      <rPr>
        <sz val="11"/>
        <rFont val="Calibri"/>
        <family val="2"/>
        <scheme val="minor"/>
      </rPr>
      <t>-Abgabe [Fr./t CO</t>
    </r>
    <r>
      <rPr>
        <vertAlign val="subscript"/>
        <sz val="11"/>
        <rFont val="Calibri"/>
        <family val="2"/>
        <scheme val="minor"/>
      </rPr>
      <t>2</t>
    </r>
    <r>
      <rPr>
        <sz val="11"/>
        <rFont val="Calibri"/>
        <family val="2"/>
        <scheme val="minor"/>
      </rPr>
      <t>]</t>
    </r>
    <r>
      <rPr>
        <vertAlign val="superscript"/>
        <sz val="11"/>
        <rFont val="Calibri"/>
        <family val="2"/>
        <scheme val="minor"/>
      </rPr>
      <t>2)</t>
    </r>
  </si>
  <si>
    <r>
      <t>CO</t>
    </r>
    <r>
      <rPr>
        <vertAlign val="subscript"/>
        <sz val="11"/>
        <rFont val="Calibri"/>
        <family val="2"/>
        <scheme val="minor"/>
      </rPr>
      <t>2</t>
    </r>
    <r>
      <rPr>
        <sz val="11"/>
        <rFont val="Calibri"/>
        <family val="2"/>
        <scheme val="minor"/>
      </rPr>
      <t>-Abgabe [Fr./l Heizöl]</t>
    </r>
    <r>
      <rPr>
        <vertAlign val="superscript"/>
        <sz val="11"/>
        <rFont val="Calibri"/>
        <family val="2"/>
        <scheme val="minor"/>
      </rPr>
      <t>3)</t>
    </r>
  </si>
  <si>
    <t>https://www.klimaneutral-handeln.de/php/kompens-berechnen.php 1 Liter Heizöl =&gt; 2.9 kg CO2</t>
  </si>
  <si>
    <r>
      <t>CO</t>
    </r>
    <r>
      <rPr>
        <vertAlign val="subscript"/>
        <sz val="11"/>
        <rFont val="Calibri"/>
        <family val="2"/>
        <scheme val="minor"/>
      </rPr>
      <t>2</t>
    </r>
    <r>
      <rPr>
        <sz val="11"/>
        <rFont val="Calibri"/>
        <family val="2"/>
        <scheme val="minor"/>
      </rPr>
      <t>-Abgabe [Fr./kWh Erdgas]</t>
    </r>
    <r>
      <rPr>
        <vertAlign val="superscript"/>
        <sz val="11"/>
        <rFont val="Calibri"/>
        <family val="2"/>
        <scheme val="minor"/>
      </rPr>
      <t>4)</t>
    </r>
  </si>
  <si>
    <t>https://www.klimaneutral-handeln.de/php/kompens-berechnen.php 1 kWh Erdgas =&gt; 0.22 kg CO2</t>
  </si>
  <si>
    <r>
      <t>MwSt. [%]</t>
    </r>
    <r>
      <rPr>
        <vertAlign val="superscript"/>
        <sz val="11"/>
        <rFont val="Calibri"/>
        <family val="2"/>
        <scheme val="minor"/>
      </rPr>
      <t>5)</t>
    </r>
  </si>
  <si>
    <t>https://www.estv.admin.ch/estv/de/home/mehrwertsteuer/fachinformationen/steuersaetze/entwicklung-mwst.html</t>
  </si>
  <si>
    <r>
      <t>Teuerungsindex [%]</t>
    </r>
    <r>
      <rPr>
        <vertAlign val="superscript"/>
        <sz val="11"/>
        <rFont val="Calibri"/>
        <family val="2"/>
        <scheme val="minor"/>
      </rPr>
      <t>6)</t>
    </r>
  </si>
  <si>
    <r>
      <t>Landesindex der Konsumentengüter (Sep 1966=100)</t>
    </r>
    <r>
      <rPr>
        <vertAlign val="superscript"/>
        <sz val="11"/>
        <rFont val="Calibri"/>
        <family val="2"/>
        <scheme val="minor"/>
      </rPr>
      <t>6)</t>
    </r>
  </si>
  <si>
    <r>
      <t>Strompreis (H2)</t>
    </r>
    <r>
      <rPr>
        <vertAlign val="superscript"/>
        <sz val="11"/>
        <color theme="9" tint="-0.249977111117893"/>
        <rFont val="Calibri"/>
        <family val="2"/>
        <scheme val="minor"/>
      </rPr>
      <t>7)</t>
    </r>
    <r>
      <rPr>
        <sz val="11"/>
        <color theme="9" tint="-0.249977111117893"/>
        <rFont val="Calibri"/>
        <family val="2"/>
        <scheme val="minor"/>
      </rPr>
      <t xml:space="preserve"> [Rp./kWh exkl. MwSt.]</t>
    </r>
    <r>
      <rPr>
        <vertAlign val="superscript"/>
        <sz val="11"/>
        <color theme="9" tint="-0.249977111117893"/>
        <rFont val="Calibri"/>
        <family val="2"/>
        <scheme val="minor"/>
      </rPr>
      <t>8)</t>
    </r>
  </si>
  <si>
    <r>
      <t>Strompreis (H2)</t>
    </r>
    <r>
      <rPr>
        <vertAlign val="superscript"/>
        <sz val="11"/>
        <color theme="9" tint="-0.249977111117893"/>
        <rFont val="Calibri"/>
        <family val="2"/>
        <scheme val="minor"/>
      </rPr>
      <t>7)</t>
    </r>
    <r>
      <rPr>
        <sz val="11"/>
        <color theme="9" tint="-0.249977111117893"/>
        <rFont val="Calibri"/>
        <family val="2"/>
        <scheme val="minor"/>
      </rPr>
      <t xml:space="preserve"> [Rp./kWh inkl. aktueller MwSt.]</t>
    </r>
  </si>
  <si>
    <r>
      <t>Strompreis (H3)</t>
    </r>
    <r>
      <rPr>
        <vertAlign val="superscript"/>
        <sz val="11"/>
        <color theme="9" tint="-0.249977111117893"/>
        <rFont val="Calibri"/>
        <family val="2"/>
        <scheme val="minor"/>
      </rPr>
      <t>7)</t>
    </r>
    <r>
      <rPr>
        <sz val="11"/>
        <color theme="9" tint="-0.249977111117893"/>
        <rFont val="Calibri"/>
        <family val="2"/>
        <scheme val="minor"/>
      </rPr>
      <t xml:space="preserve"> [Rp./kWh exkl. MwSt.]</t>
    </r>
    <r>
      <rPr>
        <vertAlign val="superscript"/>
        <sz val="11"/>
        <color theme="9" tint="-0.249977111117893"/>
        <rFont val="Calibri"/>
        <family val="2"/>
        <scheme val="minor"/>
      </rPr>
      <t>8)</t>
    </r>
  </si>
  <si>
    <r>
      <t>Strompreis (H3)</t>
    </r>
    <r>
      <rPr>
        <vertAlign val="superscript"/>
        <sz val="11"/>
        <color theme="9" tint="-0.249977111117893"/>
        <rFont val="Calibri"/>
        <family val="2"/>
        <scheme val="minor"/>
      </rPr>
      <t>7)</t>
    </r>
    <r>
      <rPr>
        <sz val="11"/>
        <color theme="9" tint="-0.249977111117893"/>
        <rFont val="Calibri"/>
        <family val="2"/>
        <scheme val="minor"/>
      </rPr>
      <t xml:space="preserve"> [Rp./kWh inkl. aktueller MwSt.]</t>
    </r>
  </si>
  <si>
    <r>
      <t>Strompreis (H4)</t>
    </r>
    <r>
      <rPr>
        <vertAlign val="superscript"/>
        <sz val="11"/>
        <color theme="9" tint="-0.249977111117893"/>
        <rFont val="Calibri"/>
        <family val="2"/>
        <scheme val="minor"/>
      </rPr>
      <t>7)</t>
    </r>
    <r>
      <rPr>
        <sz val="11"/>
        <color theme="9" tint="-0.249977111117893"/>
        <rFont val="Calibri"/>
        <family val="2"/>
        <scheme val="minor"/>
      </rPr>
      <t xml:space="preserve"> [Rp./kWh exkl. MwSt.]</t>
    </r>
    <r>
      <rPr>
        <vertAlign val="superscript"/>
        <sz val="11"/>
        <color theme="9" tint="-0.249977111117893"/>
        <rFont val="Calibri"/>
        <family val="2"/>
        <scheme val="minor"/>
      </rPr>
      <t>8)</t>
    </r>
  </si>
  <si>
    <r>
      <t>Strompreis (H4)</t>
    </r>
    <r>
      <rPr>
        <vertAlign val="superscript"/>
        <sz val="11"/>
        <color theme="9" tint="-0.249977111117893"/>
        <rFont val="Calibri"/>
        <family val="2"/>
        <scheme val="minor"/>
      </rPr>
      <t>7)</t>
    </r>
    <r>
      <rPr>
        <sz val="11"/>
        <color theme="9" tint="-0.249977111117893"/>
        <rFont val="Calibri"/>
        <family val="2"/>
        <scheme val="minor"/>
      </rPr>
      <t xml:space="preserve"> [Rp./kWh inkl. aktueller MwSt.]</t>
    </r>
  </si>
  <si>
    <r>
      <t>Strompreis (H5)</t>
    </r>
    <r>
      <rPr>
        <vertAlign val="superscript"/>
        <sz val="11"/>
        <color theme="9" tint="-0.249977111117893"/>
        <rFont val="Calibri"/>
        <family val="2"/>
        <scheme val="minor"/>
      </rPr>
      <t>7)</t>
    </r>
    <r>
      <rPr>
        <sz val="11"/>
        <color theme="9" tint="-0.249977111117893"/>
        <rFont val="Calibri"/>
        <family val="2"/>
        <scheme val="minor"/>
      </rPr>
      <t xml:space="preserve"> [Rp./kWh exkl. MwSt.]</t>
    </r>
    <r>
      <rPr>
        <vertAlign val="superscript"/>
        <sz val="11"/>
        <color theme="9" tint="-0.249977111117893"/>
        <rFont val="Calibri"/>
        <family val="2"/>
        <scheme val="minor"/>
      </rPr>
      <t>8)</t>
    </r>
  </si>
  <si>
    <r>
      <t>Strompreis (H5)</t>
    </r>
    <r>
      <rPr>
        <vertAlign val="superscript"/>
        <sz val="11"/>
        <color theme="9" tint="-0.249977111117893"/>
        <rFont val="Calibri"/>
        <family val="2"/>
        <scheme val="minor"/>
      </rPr>
      <t>7)</t>
    </r>
    <r>
      <rPr>
        <sz val="11"/>
        <color theme="9" tint="-0.249977111117893"/>
        <rFont val="Calibri"/>
        <family val="2"/>
        <scheme val="minor"/>
      </rPr>
      <t xml:space="preserve"> [Rp./kWh inkl. aktueller MwSt.]</t>
    </r>
  </si>
  <si>
    <r>
      <t>Strompreis (H6)</t>
    </r>
    <r>
      <rPr>
        <vertAlign val="superscript"/>
        <sz val="11"/>
        <color theme="9" tint="-0.249977111117893"/>
        <rFont val="Calibri"/>
        <family val="2"/>
        <scheme val="minor"/>
      </rPr>
      <t>7)</t>
    </r>
    <r>
      <rPr>
        <sz val="11"/>
        <color theme="9" tint="-0.249977111117893"/>
        <rFont val="Calibri"/>
        <family val="2"/>
        <scheme val="minor"/>
      </rPr>
      <t xml:space="preserve"> [Rp./kWh exkl. MwSt.]</t>
    </r>
    <r>
      <rPr>
        <vertAlign val="superscript"/>
        <sz val="11"/>
        <color theme="9" tint="-0.249977111117893"/>
        <rFont val="Calibri"/>
        <family val="2"/>
        <scheme val="minor"/>
      </rPr>
      <t>8)</t>
    </r>
  </si>
  <si>
    <r>
      <t>Strompreis (H6)</t>
    </r>
    <r>
      <rPr>
        <vertAlign val="superscript"/>
        <sz val="11"/>
        <color theme="9" tint="-0.249977111117893"/>
        <rFont val="Calibri"/>
        <family val="2"/>
        <scheme val="minor"/>
      </rPr>
      <t>7)</t>
    </r>
    <r>
      <rPr>
        <sz val="11"/>
        <color theme="9" tint="-0.249977111117893"/>
        <rFont val="Calibri"/>
        <family val="2"/>
        <scheme val="minor"/>
      </rPr>
      <t xml:space="preserve"> [Rp./kWh inkl. aktueller MwSt.]</t>
    </r>
  </si>
  <si>
    <r>
      <t>Strompreis (H7)</t>
    </r>
    <r>
      <rPr>
        <vertAlign val="superscript"/>
        <sz val="11"/>
        <color theme="9" tint="-0.249977111117893"/>
        <rFont val="Calibri"/>
        <family val="2"/>
        <scheme val="minor"/>
      </rPr>
      <t>7)</t>
    </r>
    <r>
      <rPr>
        <sz val="11"/>
        <color theme="9" tint="-0.249977111117893"/>
        <rFont val="Calibri"/>
        <family val="2"/>
        <scheme val="minor"/>
      </rPr>
      <t xml:space="preserve"> [Rp./kWh exkl. MwSt.]</t>
    </r>
    <r>
      <rPr>
        <vertAlign val="superscript"/>
        <sz val="11"/>
        <color theme="9" tint="-0.249977111117893"/>
        <rFont val="Calibri"/>
        <family val="2"/>
        <scheme val="minor"/>
      </rPr>
      <t>8)</t>
    </r>
  </si>
  <si>
    <r>
      <t>Strompreis (H7)</t>
    </r>
    <r>
      <rPr>
        <vertAlign val="superscript"/>
        <sz val="11"/>
        <color theme="9" tint="-0.249977111117893"/>
        <rFont val="Calibri"/>
        <family val="2"/>
        <scheme val="minor"/>
      </rPr>
      <t>7)</t>
    </r>
    <r>
      <rPr>
        <sz val="11"/>
        <color theme="9" tint="-0.249977111117893"/>
        <rFont val="Calibri"/>
        <family val="2"/>
        <scheme val="minor"/>
      </rPr>
      <t xml:space="preserve"> [Rp./kWh inkl. aktueller MwSt.]</t>
    </r>
  </si>
  <si>
    <r>
      <t>Strompreis (H8)</t>
    </r>
    <r>
      <rPr>
        <vertAlign val="superscript"/>
        <sz val="11"/>
        <color theme="9" tint="-0.249977111117893"/>
        <rFont val="Calibri"/>
        <family val="2"/>
        <scheme val="minor"/>
      </rPr>
      <t>7)</t>
    </r>
    <r>
      <rPr>
        <sz val="11"/>
        <color theme="9" tint="-0.249977111117893"/>
        <rFont val="Calibri"/>
        <family val="2"/>
        <scheme val="minor"/>
      </rPr>
      <t xml:space="preserve"> [Rp./kWh exkl. MwSt.]</t>
    </r>
    <r>
      <rPr>
        <vertAlign val="superscript"/>
        <sz val="11"/>
        <color theme="9" tint="-0.249977111117893"/>
        <rFont val="Calibri"/>
        <family val="2"/>
        <scheme val="minor"/>
      </rPr>
      <t>8)</t>
    </r>
  </si>
  <si>
    <r>
      <t>Strompreis (H8)</t>
    </r>
    <r>
      <rPr>
        <vertAlign val="superscript"/>
        <sz val="11"/>
        <color theme="9" tint="-0.249977111117893"/>
        <rFont val="Calibri"/>
        <family val="2"/>
        <scheme val="minor"/>
      </rPr>
      <t>7)</t>
    </r>
    <r>
      <rPr>
        <sz val="11"/>
        <color theme="9" tint="-0.249977111117893"/>
        <rFont val="Calibri"/>
        <family val="2"/>
        <scheme val="minor"/>
      </rPr>
      <t xml:space="preserve"> [Rp./kWh inkl. aktueller MwSt.]</t>
    </r>
  </si>
  <si>
    <r>
      <t>Strompreis (C1)</t>
    </r>
    <r>
      <rPr>
        <vertAlign val="superscript"/>
        <sz val="11"/>
        <color theme="9" tint="-0.249977111117893"/>
        <rFont val="Calibri"/>
        <family val="2"/>
        <scheme val="minor"/>
      </rPr>
      <t>7)</t>
    </r>
    <r>
      <rPr>
        <sz val="11"/>
        <color theme="9" tint="-0.249977111117893"/>
        <rFont val="Calibri"/>
        <family val="2"/>
        <scheme val="minor"/>
      </rPr>
      <t xml:space="preserve"> [Rp./kWh exkl. MwSt.]</t>
    </r>
    <r>
      <rPr>
        <vertAlign val="superscript"/>
        <sz val="11"/>
        <color theme="9" tint="-0.249977111117893"/>
        <rFont val="Calibri"/>
        <family val="2"/>
        <scheme val="minor"/>
      </rPr>
      <t>8)</t>
    </r>
  </si>
  <si>
    <r>
      <t>Strompreis (C1)</t>
    </r>
    <r>
      <rPr>
        <vertAlign val="superscript"/>
        <sz val="11"/>
        <color theme="9" tint="-0.249977111117893"/>
        <rFont val="Calibri"/>
        <family val="2"/>
        <scheme val="minor"/>
      </rPr>
      <t>7)</t>
    </r>
    <r>
      <rPr>
        <sz val="11"/>
        <color theme="9" tint="-0.249977111117893"/>
        <rFont val="Calibri"/>
        <family val="2"/>
        <scheme val="minor"/>
      </rPr>
      <t xml:space="preserve"> [Rp./kWh inkl. aktueller MwSt.]</t>
    </r>
  </si>
  <si>
    <r>
      <t>Strompreis (C2)</t>
    </r>
    <r>
      <rPr>
        <vertAlign val="superscript"/>
        <sz val="11"/>
        <color theme="9" tint="-0.249977111117893"/>
        <rFont val="Calibri"/>
        <family val="2"/>
        <scheme val="minor"/>
      </rPr>
      <t>7)</t>
    </r>
    <r>
      <rPr>
        <sz val="11"/>
        <color theme="9" tint="-0.249977111117893"/>
        <rFont val="Calibri"/>
        <family val="2"/>
        <scheme val="minor"/>
      </rPr>
      <t xml:space="preserve"> [Rp./kWh exkl. MwSt.]</t>
    </r>
    <r>
      <rPr>
        <vertAlign val="superscript"/>
        <sz val="11"/>
        <color theme="9" tint="-0.249977111117893"/>
        <rFont val="Calibri"/>
        <family val="2"/>
        <scheme val="minor"/>
      </rPr>
      <t>8)</t>
    </r>
  </si>
  <si>
    <r>
      <t>Strompreis (C2)</t>
    </r>
    <r>
      <rPr>
        <vertAlign val="superscript"/>
        <sz val="11"/>
        <color theme="9" tint="-0.249977111117893"/>
        <rFont val="Calibri"/>
        <family val="2"/>
        <scheme val="minor"/>
      </rPr>
      <t>7)</t>
    </r>
    <r>
      <rPr>
        <sz val="11"/>
        <color theme="9" tint="-0.249977111117893"/>
        <rFont val="Calibri"/>
        <family val="2"/>
        <scheme val="minor"/>
      </rPr>
      <t xml:space="preserve"> [Rp./kWh inkl. aktueller MwSt.]</t>
    </r>
  </si>
  <si>
    <r>
      <t>Strompreis (C3)</t>
    </r>
    <r>
      <rPr>
        <vertAlign val="superscript"/>
        <sz val="11"/>
        <color theme="9" tint="-0.249977111117893"/>
        <rFont val="Calibri"/>
        <family val="2"/>
        <scheme val="minor"/>
      </rPr>
      <t>7)</t>
    </r>
    <r>
      <rPr>
        <sz val="11"/>
        <color theme="9" tint="-0.249977111117893"/>
        <rFont val="Calibri"/>
        <family val="2"/>
        <scheme val="minor"/>
      </rPr>
      <t xml:space="preserve"> [Rp./kWh exkl. MwSt.]</t>
    </r>
    <r>
      <rPr>
        <vertAlign val="superscript"/>
        <sz val="11"/>
        <color theme="9" tint="-0.249977111117893"/>
        <rFont val="Calibri"/>
        <family val="2"/>
        <scheme val="minor"/>
      </rPr>
      <t>8)</t>
    </r>
  </si>
  <si>
    <r>
      <t>Strompreis (C3)</t>
    </r>
    <r>
      <rPr>
        <vertAlign val="superscript"/>
        <sz val="11"/>
        <color theme="9" tint="-0.249977111117893"/>
        <rFont val="Calibri"/>
        <family val="2"/>
        <scheme val="minor"/>
      </rPr>
      <t>7)</t>
    </r>
    <r>
      <rPr>
        <sz val="11"/>
        <color theme="9" tint="-0.249977111117893"/>
        <rFont val="Calibri"/>
        <family val="2"/>
        <scheme val="minor"/>
      </rPr>
      <t xml:space="preserve"> [Rp./kWh inkl. aktueller MwSt.]</t>
    </r>
  </si>
  <si>
    <r>
      <t>Strompreis (C4)</t>
    </r>
    <r>
      <rPr>
        <vertAlign val="superscript"/>
        <sz val="11"/>
        <color theme="9" tint="-0.249977111117893"/>
        <rFont val="Calibri"/>
        <family val="2"/>
        <scheme val="minor"/>
      </rPr>
      <t>7)</t>
    </r>
    <r>
      <rPr>
        <sz val="11"/>
        <color theme="9" tint="-0.249977111117893"/>
        <rFont val="Calibri"/>
        <family val="2"/>
        <scheme val="minor"/>
      </rPr>
      <t xml:space="preserve"> [Rp./kWh exkl. MwSt.]</t>
    </r>
    <r>
      <rPr>
        <vertAlign val="superscript"/>
        <sz val="11"/>
        <color theme="9" tint="-0.249977111117893"/>
        <rFont val="Calibri"/>
        <family val="2"/>
        <scheme val="minor"/>
      </rPr>
      <t>8)</t>
    </r>
  </si>
  <si>
    <r>
      <t>Strompreis (C4)</t>
    </r>
    <r>
      <rPr>
        <vertAlign val="superscript"/>
        <sz val="11"/>
        <color theme="9" tint="-0.249977111117893"/>
        <rFont val="Calibri"/>
        <family val="2"/>
        <scheme val="minor"/>
      </rPr>
      <t>7)</t>
    </r>
    <r>
      <rPr>
        <sz val="11"/>
        <color theme="9" tint="-0.249977111117893"/>
        <rFont val="Calibri"/>
        <family val="2"/>
        <scheme val="minor"/>
      </rPr>
      <t xml:space="preserve"> [Rp./kWh inkl. aktueller MwSt.]</t>
    </r>
  </si>
  <si>
    <r>
      <t>Strompreis (C5)</t>
    </r>
    <r>
      <rPr>
        <vertAlign val="superscript"/>
        <sz val="11"/>
        <color theme="9" tint="-0.249977111117893"/>
        <rFont val="Calibri"/>
        <family val="2"/>
        <scheme val="minor"/>
      </rPr>
      <t>7)</t>
    </r>
    <r>
      <rPr>
        <sz val="11"/>
        <color theme="9" tint="-0.249977111117893"/>
        <rFont val="Calibri"/>
        <family val="2"/>
        <scheme val="minor"/>
      </rPr>
      <t xml:space="preserve"> [Rp./kWh exkl. MwSt.]</t>
    </r>
    <r>
      <rPr>
        <vertAlign val="superscript"/>
        <sz val="11"/>
        <color theme="9" tint="-0.249977111117893"/>
        <rFont val="Calibri"/>
        <family val="2"/>
        <scheme val="minor"/>
      </rPr>
      <t>8)</t>
    </r>
  </si>
  <si>
    <r>
      <t>Strompreis (C5)</t>
    </r>
    <r>
      <rPr>
        <vertAlign val="superscript"/>
        <sz val="11"/>
        <color theme="9" tint="-0.249977111117893"/>
        <rFont val="Calibri"/>
        <family val="2"/>
        <scheme val="minor"/>
      </rPr>
      <t>7)</t>
    </r>
    <r>
      <rPr>
        <sz val="11"/>
        <color theme="9" tint="-0.249977111117893"/>
        <rFont val="Calibri"/>
        <family val="2"/>
        <scheme val="minor"/>
      </rPr>
      <t xml:space="preserve"> [Rp./kWh inkl. aktueller MwSt.]</t>
    </r>
  </si>
  <si>
    <r>
      <t>Strompreis (C6)</t>
    </r>
    <r>
      <rPr>
        <vertAlign val="superscript"/>
        <sz val="11"/>
        <color theme="9" tint="-0.249977111117893"/>
        <rFont val="Calibri"/>
        <family val="2"/>
        <scheme val="minor"/>
      </rPr>
      <t>7)</t>
    </r>
    <r>
      <rPr>
        <sz val="11"/>
        <color theme="9" tint="-0.249977111117893"/>
        <rFont val="Calibri"/>
        <family val="2"/>
        <scheme val="minor"/>
      </rPr>
      <t xml:space="preserve"> [Rp./kWh exkl. MwSt.]</t>
    </r>
    <r>
      <rPr>
        <vertAlign val="superscript"/>
        <sz val="11"/>
        <color theme="9" tint="-0.249977111117893"/>
        <rFont val="Calibri"/>
        <family val="2"/>
        <scheme val="minor"/>
      </rPr>
      <t>8)</t>
    </r>
  </si>
  <si>
    <r>
      <t>Strompreis (C6)</t>
    </r>
    <r>
      <rPr>
        <vertAlign val="superscript"/>
        <sz val="11"/>
        <color theme="9" tint="-0.249977111117893"/>
        <rFont val="Calibri"/>
        <family val="2"/>
        <scheme val="minor"/>
      </rPr>
      <t>7)</t>
    </r>
    <r>
      <rPr>
        <sz val="11"/>
        <color theme="9" tint="-0.249977111117893"/>
        <rFont val="Calibri"/>
        <family val="2"/>
        <scheme val="minor"/>
      </rPr>
      <t xml:space="preserve"> [Rp./kWh inkl. aktueller MwSt.]</t>
    </r>
  </si>
  <si>
    <r>
      <t>Holzpellets [Fr./6000 kg inkl. MwSt.]</t>
    </r>
    <r>
      <rPr>
        <vertAlign val="superscript"/>
        <sz val="11"/>
        <color rgb="FF7030A0"/>
        <rFont val="Calibri"/>
        <family val="2"/>
        <scheme val="minor"/>
      </rPr>
      <t>9)</t>
    </r>
  </si>
  <si>
    <r>
      <t>Holzpellets [Rp./kWh inkl. MwSt.]</t>
    </r>
    <r>
      <rPr>
        <vertAlign val="superscript"/>
        <sz val="11"/>
        <color rgb="FF7030A0"/>
        <rFont val="Calibri"/>
        <family val="2"/>
        <scheme val="minor"/>
      </rPr>
      <t>10)</t>
    </r>
  </si>
  <si>
    <t>Heizwert von Holzpellets = 4.8 kWh/kg https://www.effizienzhaus-online.de/heizwert-von-pellets/#:~:text=Der%20Heizwert%20von%20Holzpellets%20liegt,Pellets%20etwa%20einem%20Liter%20Heiz%C3%B6l.</t>
  </si>
  <si>
    <t>Erfahrungswerte von Andreas Keel, Holzenergie Schweiz</t>
  </si>
  <si>
    <r>
      <t>Heizöl (6'001-9'000 l) [Fr./100 l inkl. MwSt. und inkl. CO</t>
    </r>
    <r>
      <rPr>
        <vertAlign val="subscript"/>
        <sz val="11"/>
        <color theme="7" tint="-0.249977111117893"/>
        <rFont val="Calibri"/>
        <family val="2"/>
        <scheme val="minor"/>
      </rPr>
      <t>2</t>
    </r>
    <r>
      <rPr>
        <sz val="11"/>
        <color theme="7" tint="-0.249977111117893"/>
        <rFont val="Calibri"/>
        <family val="2"/>
        <scheme val="minor"/>
      </rPr>
      <t>-Abgabe]</t>
    </r>
    <r>
      <rPr>
        <vertAlign val="superscript"/>
        <sz val="11"/>
        <color theme="7" tint="-0.249977111117893"/>
        <rFont val="Calibri"/>
        <family val="2"/>
        <scheme val="minor"/>
      </rPr>
      <t>9)</t>
    </r>
  </si>
  <si>
    <r>
      <t>Heizöl (6'001-9'000 l) [Fr./100 l inkl. MwSt. und exkl. CO</t>
    </r>
    <r>
      <rPr>
        <vertAlign val="subscript"/>
        <sz val="11"/>
        <color theme="7" tint="-0.249977111117893"/>
        <rFont val="Calibri"/>
        <family val="2"/>
        <scheme val="minor"/>
      </rPr>
      <t>2</t>
    </r>
    <r>
      <rPr>
        <sz val="11"/>
        <color theme="7" tint="-0.249977111117893"/>
        <rFont val="Calibri"/>
        <family val="2"/>
        <scheme val="minor"/>
      </rPr>
      <t>-Abgabe]</t>
    </r>
    <r>
      <rPr>
        <vertAlign val="superscript"/>
        <sz val="11"/>
        <color theme="7" tint="-0.249977111117893"/>
        <rFont val="Calibri"/>
        <family val="2"/>
        <scheme val="minor"/>
      </rPr>
      <t>9)</t>
    </r>
  </si>
  <si>
    <r>
      <t>Heizöl (6'001-9'000 l) [Fr./100 l exkl. MwSt. und exkl. CO</t>
    </r>
    <r>
      <rPr>
        <vertAlign val="subscript"/>
        <sz val="11"/>
        <color theme="7" tint="-0.249977111117893"/>
        <rFont val="Calibri"/>
        <family val="2"/>
        <scheme val="minor"/>
      </rPr>
      <t>2</t>
    </r>
    <r>
      <rPr>
        <sz val="11"/>
        <color theme="7" tint="-0.249977111117893"/>
        <rFont val="Calibri"/>
        <family val="2"/>
        <scheme val="minor"/>
      </rPr>
      <t>-Abgabe]</t>
    </r>
    <r>
      <rPr>
        <vertAlign val="superscript"/>
        <sz val="11"/>
        <color theme="7" tint="-0.249977111117893"/>
        <rFont val="Calibri"/>
        <family val="2"/>
        <scheme val="minor"/>
      </rPr>
      <t>9)</t>
    </r>
  </si>
  <si>
    <r>
      <t>Heizöl (6'001-9'000 l) [Fr./100 l exkl. MwSt. und inkl. aktueller Durchschnitts-CO</t>
    </r>
    <r>
      <rPr>
        <vertAlign val="subscript"/>
        <sz val="11"/>
        <color theme="7" tint="-0.249977111117893"/>
        <rFont val="Calibri"/>
        <family val="2"/>
        <scheme val="minor"/>
      </rPr>
      <t>2</t>
    </r>
    <r>
      <rPr>
        <sz val="11"/>
        <color theme="7" tint="-0.249977111117893"/>
        <rFont val="Calibri"/>
        <family val="2"/>
        <scheme val="minor"/>
      </rPr>
      <t>-Abgabe]</t>
    </r>
    <r>
      <rPr>
        <vertAlign val="superscript"/>
        <sz val="11"/>
        <color theme="7" tint="-0.249977111117893"/>
        <rFont val="Calibri"/>
        <family val="2"/>
        <scheme val="minor"/>
      </rPr>
      <t>9)</t>
    </r>
  </si>
  <si>
    <r>
      <t>Heizöl (6'001-9'000 l) [Fr./100 l inkl. aktueller MwSt. und inkl. aktueller Durchschnitts-CO</t>
    </r>
    <r>
      <rPr>
        <vertAlign val="subscript"/>
        <sz val="11"/>
        <color theme="7" tint="-0.249977111117893"/>
        <rFont val="Calibri"/>
        <family val="2"/>
        <scheme val="minor"/>
      </rPr>
      <t>2</t>
    </r>
    <r>
      <rPr>
        <sz val="11"/>
        <color theme="7" tint="-0.249977111117893"/>
        <rFont val="Calibri"/>
        <family val="2"/>
        <scheme val="minor"/>
      </rPr>
      <t>-Abgabe]</t>
    </r>
    <r>
      <rPr>
        <vertAlign val="superscript"/>
        <sz val="11"/>
        <color theme="7" tint="-0.249977111117893"/>
        <rFont val="Calibri"/>
        <family val="2"/>
        <scheme val="minor"/>
      </rPr>
      <t>9)</t>
    </r>
  </si>
  <si>
    <r>
      <t>Heizöl (6'001-9'000 l) [Rp./kWh inkl. aktueller MwSt. und inkl. aktueller Durchschnitts-CO</t>
    </r>
    <r>
      <rPr>
        <vertAlign val="subscript"/>
        <sz val="11"/>
        <color theme="7" tint="-0.249977111117893"/>
        <rFont val="Calibri"/>
        <family val="2"/>
        <scheme val="minor"/>
      </rPr>
      <t>2</t>
    </r>
    <r>
      <rPr>
        <sz val="11"/>
        <color theme="7" tint="-0.249977111117893"/>
        <rFont val="Calibri"/>
        <family val="2"/>
        <scheme val="minor"/>
      </rPr>
      <t>-Abgabe]</t>
    </r>
    <r>
      <rPr>
        <vertAlign val="superscript"/>
        <sz val="11"/>
        <color theme="7" tint="-0.249977111117893"/>
        <rFont val="Calibri"/>
        <family val="2"/>
        <scheme val="minor"/>
      </rPr>
      <t>9)12)</t>
    </r>
  </si>
  <si>
    <t>Der Energiegehalt von 100l Heizöl ist (0.0426 TJ/t * 0.84 t/m3 * 0.13 m3/l * 100l =) 0.0035784 TJ, dies entspricht 994 kWh</t>
  </si>
  <si>
    <r>
      <t>Gaspreis (20'000 kWh) [Fr./kWh inkl. MwSt. und inkl. CO</t>
    </r>
    <r>
      <rPr>
        <vertAlign val="subscript"/>
        <sz val="11"/>
        <color theme="8" tint="-0.249977111117893"/>
        <rFont val="Calibri"/>
        <family val="2"/>
        <scheme val="minor"/>
      </rPr>
      <t>2</t>
    </r>
    <r>
      <rPr>
        <sz val="11"/>
        <color theme="8" tint="-0.249977111117893"/>
        <rFont val="Calibri"/>
        <family val="2"/>
        <scheme val="minor"/>
      </rPr>
      <t>-Abgabe]</t>
    </r>
    <r>
      <rPr>
        <vertAlign val="superscript"/>
        <sz val="11"/>
        <color theme="8" tint="-0.249977111117893"/>
        <rFont val="Calibri"/>
        <family val="2"/>
        <scheme val="minor"/>
      </rPr>
      <t>9)</t>
    </r>
  </si>
  <si>
    <r>
      <t>Gaspreis (20'000 kWh) [Fr./kWh inkl. MwSt. und exkl. CO</t>
    </r>
    <r>
      <rPr>
        <vertAlign val="subscript"/>
        <sz val="11"/>
        <color theme="8" tint="-0.249977111117893"/>
        <rFont val="Calibri"/>
        <family val="2"/>
        <scheme val="minor"/>
      </rPr>
      <t>2</t>
    </r>
    <r>
      <rPr>
        <sz val="11"/>
        <color theme="8" tint="-0.249977111117893"/>
        <rFont val="Calibri"/>
        <family val="2"/>
        <scheme val="minor"/>
      </rPr>
      <t>-Abgabe]</t>
    </r>
    <r>
      <rPr>
        <vertAlign val="superscript"/>
        <sz val="11"/>
        <color theme="8" tint="-0.249977111117893"/>
        <rFont val="Calibri"/>
        <family val="2"/>
        <scheme val="minor"/>
      </rPr>
      <t>9)</t>
    </r>
  </si>
  <si>
    <r>
      <t>Gaspreis (20'000 kWh) [Fr./kWh exkl. MwSt. und exkl. CO</t>
    </r>
    <r>
      <rPr>
        <vertAlign val="subscript"/>
        <sz val="11"/>
        <color theme="8" tint="-0.249977111117893"/>
        <rFont val="Calibri"/>
        <family val="2"/>
        <scheme val="minor"/>
      </rPr>
      <t>2</t>
    </r>
    <r>
      <rPr>
        <sz val="11"/>
        <color theme="8" tint="-0.249977111117893"/>
        <rFont val="Calibri"/>
        <family val="2"/>
        <scheme val="minor"/>
      </rPr>
      <t>-Abgabe]</t>
    </r>
    <r>
      <rPr>
        <vertAlign val="superscript"/>
        <sz val="11"/>
        <color theme="8" tint="-0.249977111117893"/>
        <rFont val="Calibri"/>
        <family val="2"/>
        <scheme val="minor"/>
      </rPr>
      <t>9)</t>
    </r>
  </si>
  <si>
    <r>
      <t>Gaspreis (20'000 kWh) [Fr./kWh exkl. MwSt. und inkl. Aktueller Durchschnitts-CO</t>
    </r>
    <r>
      <rPr>
        <vertAlign val="subscript"/>
        <sz val="11"/>
        <color theme="8" tint="-0.249977111117893"/>
        <rFont val="Calibri"/>
        <family val="2"/>
        <scheme val="minor"/>
      </rPr>
      <t>2</t>
    </r>
    <r>
      <rPr>
        <sz val="11"/>
        <color theme="8" tint="-0.249977111117893"/>
        <rFont val="Calibri"/>
        <family val="2"/>
        <scheme val="minor"/>
      </rPr>
      <t>-Abgabe]</t>
    </r>
    <r>
      <rPr>
        <vertAlign val="superscript"/>
        <sz val="11"/>
        <color theme="8" tint="-0.249977111117893"/>
        <rFont val="Calibri"/>
        <family val="2"/>
        <scheme val="minor"/>
      </rPr>
      <t>9)</t>
    </r>
  </si>
  <si>
    <r>
      <t>Gaspreis (20'000 kWh) [Fr./kWh inkl. MwSt. und inkl. Aktueller Durchschnitts-CO</t>
    </r>
    <r>
      <rPr>
        <vertAlign val="subscript"/>
        <sz val="11"/>
        <color theme="8" tint="-0.249977111117893"/>
        <rFont val="Calibri"/>
        <family val="2"/>
        <scheme val="minor"/>
      </rPr>
      <t>2</t>
    </r>
    <r>
      <rPr>
        <sz val="11"/>
        <color theme="8" tint="-0.249977111117893"/>
        <rFont val="Calibri"/>
        <family val="2"/>
        <scheme val="minor"/>
      </rPr>
      <t>-Abgabe]</t>
    </r>
    <r>
      <rPr>
        <vertAlign val="superscript"/>
        <sz val="11"/>
        <color theme="8" tint="-0.249977111117893"/>
        <rFont val="Calibri"/>
        <family val="2"/>
        <scheme val="minor"/>
      </rPr>
      <t>9)</t>
    </r>
  </si>
  <si>
    <t>3.1 Bauliches 
(gerundet auf Tsd)</t>
  </si>
  <si>
    <t>3.1 Technik 
(gerundet auf Tsd)</t>
  </si>
  <si>
    <t>3.2 Honorare 
(gerundet auf Tsd)</t>
  </si>
  <si>
    <r>
      <t>Ölpreis [Fr./100 Liter exkl. MwSt. und exkl. CO</t>
    </r>
    <r>
      <rPr>
        <vertAlign val="subscript"/>
        <sz val="11"/>
        <color rgb="FFCC3399"/>
        <rFont val="Calibri"/>
        <family val="2"/>
        <scheme val="minor"/>
      </rPr>
      <t>2</t>
    </r>
    <r>
      <rPr>
        <sz val="11"/>
        <color rgb="FFCC3399"/>
        <rFont val="Calibri"/>
        <family val="2"/>
        <scheme val="minor"/>
      </rPr>
      <t>-Abgaben]</t>
    </r>
    <r>
      <rPr>
        <vertAlign val="superscript"/>
        <sz val="11"/>
        <color rgb="FFCC3399"/>
        <rFont val="Calibri"/>
        <family val="2"/>
        <scheme val="minor"/>
      </rPr>
      <t>13)</t>
    </r>
  </si>
  <si>
    <t>Gleich wie Heizölpreis (Quelle 9))</t>
  </si>
  <si>
    <t xml:space="preserve">https://www.stadt-zuerich.ch/ted/de/index/entsorgung_recycling/zuerich_waerme/angebot/preise.html </t>
  </si>
  <si>
    <t>Strom wird in Verbrauchskategorien angegeben: Verbrauchsprofile typischer Haushalte:
H1: 1'600 kWh/Jahr: 2-Zimmerwohnung mit Elektroherd
H2: 2'500 kWh/Jahr: 4-Zimmerwohnung mit Elektroherd
H3: 4'500 kWh/Jahr: 4-Zimmerwohnung mit Elektroherd und Elektroboiler
H4: 4'500 kWh/Jahr: 5-Zimmerwohnung mit Elektroherd und Tumbler (ohne Elektroboiler)
H5: 7'500 kWh/Jahr: 5-Zimmer-Einfamilienhaus mit Elektroherd, Elektroboiler und Tumbler
H6: 25'000 kWh/Jahr: 5-Zimmer-Einfamilienhaus mit Elektroherd, Elektroboiler, Tumbler und mit elektrischer Widerstandsheizung -&gt; Berechnungsgrundlage
H7: 13'000 kWh/Jahr: 5-Zimmer-Einfamilienhaus mit Elektroherd, Elektroboiler, Tumbler, Wärmepumpe 5 kW zur Beheizung
H8: 7'500 kWh/Jahr: Grosse, hoch elektrifizierte Eigentumswohnung
Verbrauchsprofile von Gewerbe- und Industriebetrieben:
C1: 8'000 kWh/Jahr: Kleinstbetrieb, max. beanspruchte Leistung: 8 kW
C2: 30'000 kWh/Jahr: Kleinbetrieb, max. beanspruchte Leistung: 15 kW
C3: 150'000 kWh/Jahr: Mittlerer Betrieb, max. beanspruchte Leistung: 50 kW
C4: 500'000 kWh/Jahr: Grosser Betrieb , max. beanspruchte Leistung: 150 kW, Niederspannung
C5: 500'000 kWh/Jahr: Grosser Betrieb, max. beanspruchte Leistung: 150 kW, Mittelspannung, eigene Transformatorenstation
C6: 1'500'000 kWh/Jahr: Grosser Betrieb, max. beanspruchte Leistung: 400 kW, Mittelspannung, eigene Transformatorenstation
C7: 7'500'000 kWh/Jahr: Grosser Betrieb, max. beanspruchte Leistung: 1'630 kW, Mittelspannung, eigene Transformatorenstation</t>
  </si>
  <si>
    <t>16)</t>
  </si>
  <si>
    <t>17)</t>
  </si>
  <si>
    <t>18)</t>
  </si>
  <si>
    <t>https://stadtwerk.winterthur.ch/privatkundschaft/angebote/heizen</t>
  </si>
  <si>
    <t>Leistungspreis = 5564 x Wurzel(Leistung im MW) x 206.39 (Zürcher Index der Wohnbaukosten aktuell) / 114.3 (basis)</t>
  </si>
  <si>
    <t>ERZ</t>
  </si>
  <si>
    <t>Ergebnisse für:</t>
  </si>
  <si>
    <t>K.A.</t>
  </si>
  <si>
    <r>
      <t>Holzschnitzel [für 190 kW Kesselleistung, Rp./kWh exkl. MwSt.]</t>
    </r>
    <r>
      <rPr>
        <vertAlign val="superscript"/>
        <sz val="11"/>
        <color rgb="FF002060"/>
        <rFont val="Calibri"/>
        <family val="2"/>
        <scheme val="minor"/>
      </rPr>
      <t>11)</t>
    </r>
  </si>
  <si>
    <t>Holzschnitzel [für 190 kW Kesselleistung, Rp./kWh inkl. aktueller MwSt.]</t>
  </si>
  <si>
    <t>Arbeitspreis (wenn Ölpreis &gt; 45 Fr./100 Liter) = 1.40 x 45 CHF/100l + (Ölpreis - 45 CHF/100l) x 0.5
Arbeitspreis (wenn Ölpreis &lt; 45 Fr./100 Liter und &gt; 30 Fr./100 Liter) = 1.4*Ölpreis
Arbeitspreis (wenn Ölpreis &lt; 30 Fr./100 Liter) = 1.4*30 CHF/100l-(30CHF/100l-Ölpreis)*0.5</t>
  </si>
  <si>
    <t>Leistungspreis = Leistungspreis Faktor (Landesindex der Konsumentenpreise (Basis Mai 2000 = 100) x Wurzel(Leistung in MW)</t>
  </si>
  <si>
    <t>Förderbeitrag berechnet aus dem kantonalen Fördermodell. Bei der Fernwärme können die Förderbeiträge abweichen (evtl. von Netzbetreiber beansprucht). In diesem Fall Beitrag in hellgelbes Feld eintragen.</t>
  </si>
  <si>
    <t>Erdwärmesonde, Elektrozuleitung, Fernwärme</t>
  </si>
  <si>
    <t>Elektrozuleitung bei WP-Anlagen prüfen! Richtwerte können durch manuelle Eingabe übersteuert werden. Bei Fernwärme: Anschlussgebühren und Unterstation.</t>
  </si>
  <si>
    <r>
      <t>1.5 Warmwasserbedarf nach SIA380/1 [kWh/m</t>
    </r>
    <r>
      <rPr>
        <b/>
        <vertAlign val="superscript"/>
        <sz val="9"/>
        <color theme="1"/>
        <rFont val="Arial"/>
        <family val="2"/>
      </rPr>
      <t>2</t>
    </r>
    <r>
      <rPr>
        <b/>
        <sz val="9"/>
        <color theme="1"/>
        <rFont val="Arial"/>
        <family val="2"/>
      </rPr>
      <t>a]</t>
    </r>
  </si>
  <si>
    <t>kWh/m²a</t>
  </si>
  <si>
    <t>Warmwasserbedarf nach SIA 380/1 Ausgabe 2016</t>
  </si>
  <si>
    <t>4.1 Erdsonde / Elektrozuleitung / Anschlussgebühren FW</t>
  </si>
  <si>
    <t>StWW Winterthur</t>
  </si>
  <si>
    <t>Alternative Systeme: Eingabe mit Fernwärme und WP-Luft oder WP-Sonde zwingend. WP-Luft (a) steht für eine Aussenalage, während WP-Luft (i) für eine Innenanlage steht.</t>
  </si>
  <si>
    <t>ERZ Zürich</t>
  </si>
  <si>
    <t>19)</t>
  </si>
  <si>
    <t>Um den Leistungspreis in einen Arbeitspreis umzuwandeln, wird der Leistungspreis durch einen Faktor 2000 geteilt.</t>
  </si>
  <si>
    <r>
      <t>Fernwärme ERZ Zürich Arbeitspreis</t>
    </r>
    <r>
      <rPr>
        <vertAlign val="superscript"/>
        <sz val="11"/>
        <color rgb="FFCC3399"/>
        <rFont val="Calibri"/>
        <family val="2"/>
        <scheme val="minor"/>
      </rPr>
      <t>14)</t>
    </r>
    <r>
      <rPr>
        <sz val="11"/>
        <color rgb="FFCC3399"/>
        <rFont val="Calibri"/>
        <family val="2"/>
        <scheme val="minor"/>
      </rPr>
      <t xml:space="preserve"> [Fr./MWh exkl. MwSt. und exkl. CO</t>
    </r>
    <r>
      <rPr>
        <vertAlign val="subscript"/>
        <sz val="11"/>
        <color rgb="FFCC3399"/>
        <rFont val="Calibri"/>
        <family val="2"/>
        <scheme val="minor"/>
      </rPr>
      <t>2</t>
    </r>
    <r>
      <rPr>
        <sz val="11"/>
        <color rgb="FFCC3399"/>
        <rFont val="Calibri"/>
        <family val="2"/>
        <scheme val="minor"/>
      </rPr>
      <t>-Abgaben]</t>
    </r>
    <r>
      <rPr>
        <vertAlign val="superscript"/>
        <sz val="11"/>
        <color rgb="FFCC3399"/>
        <rFont val="Calibri"/>
        <family val="2"/>
        <scheme val="minor"/>
      </rPr>
      <t>15)</t>
    </r>
  </si>
  <si>
    <r>
      <t>Fernwärme ERZ Zürich Arbeitspreis</t>
    </r>
    <r>
      <rPr>
        <vertAlign val="superscript"/>
        <sz val="11"/>
        <color rgb="FFCC3399"/>
        <rFont val="Calibri"/>
        <family val="2"/>
        <scheme val="minor"/>
      </rPr>
      <t>14)</t>
    </r>
    <r>
      <rPr>
        <sz val="11"/>
        <color rgb="FFCC3399"/>
        <rFont val="Calibri"/>
        <family val="2"/>
        <scheme val="minor"/>
      </rPr>
      <t xml:space="preserve"> [Fr./MWh inkl. aktueller MwSt. bei Ölpreis &gt; 45 Fr./100 Liter</t>
    </r>
    <r>
      <rPr>
        <vertAlign val="superscript"/>
        <sz val="11"/>
        <color rgb="FFCC3399"/>
        <rFont val="Calibri"/>
        <family val="2"/>
        <scheme val="minor"/>
      </rPr>
      <t>15)</t>
    </r>
  </si>
  <si>
    <r>
      <t>Fernwärme ERZ Zürich Leistungspreis in Arbeitspreis umgerechnet [Fr./MWh exkl. MwSt.]</t>
    </r>
    <r>
      <rPr>
        <vertAlign val="superscript"/>
        <sz val="11"/>
        <color rgb="FFCC3399"/>
        <rFont val="Calibri"/>
        <family val="2"/>
        <scheme val="minor"/>
      </rPr>
      <t>19)</t>
    </r>
  </si>
  <si>
    <t>Fernwärme ERZ Zürich Leistungspreis in Arbeitspreis umgerechnet [Fr./MWh inkl. aktueller MwSt.]</t>
  </si>
  <si>
    <t>Fernwärme ERZ Zürich Leistungspreis plus Arbeitspreis [Fr./MWh inkl. aktueller MwSt.]</t>
  </si>
  <si>
    <r>
      <t>Fernwärme StWW Winterthur Arbeitspreis [Fr./MWh exkl. MwSt.]</t>
    </r>
    <r>
      <rPr>
        <vertAlign val="superscript"/>
        <sz val="11"/>
        <color rgb="FFCC3399"/>
        <rFont val="Calibri"/>
        <family val="2"/>
        <scheme val="minor"/>
      </rPr>
      <t>17)</t>
    </r>
  </si>
  <si>
    <r>
      <t>Fernwärme StWW Winterthur Arbeitspreis [Fr./MWh inkl. aktueller MwSt.]</t>
    </r>
    <r>
      <rPr>
        <vertAlign val="superscript"/>
        <sz val="11"/>
        <color rgb="FFCC3399"/>
        <rFont val="Calibri"/>
        <family val="2"/>
        <scheme val="minor"/>
      </rPr>
      <t>17)</t>
    </r>
  </si>
  <si>
    <r>
      <t>Fernwärme StWW Winterthur Leistungspreis in Arbeitspreis umgerechnet [Fr./MWh exkl. MwSt.]</t>
    </r>
    <r>
      <rPr>
        <vertAlign val="superscript"/>
        <sz val="11"/>
        <color rgb="FFCC3399"/>
        <rFont val="Calibri"/>
        <family val="2"/>
        <scheme val="minor"/>
      </rPr>
      <t>19)</t>
    </r>
  </si>
  <si>
    <r>
      <t>Fernwärme StWW Winterthur Leistungspreis in Arbeitspreis umgerechnet [Fr./MWh inkl. aktueller MwSt.]</t>
    </r>
    <r>
      <rPr>
        <vertAlign val="superscript"/>
        <sz val="11"/>
        <color rgb="FFCC3399"/>
        <rFont val="Calibri"/>
        <family val="2"/>
        <scheme val="minor"/>
      </rPr>
      <t>19)</t>
    </r>
  </si>
  <si>
    <t>Fernwärme StWW Winterthur Leistungspreis plus Arbeitspreis [Fr./MWh inkl. aktueller MwSt.]</t>
  </si>
  <si>
    <t>4.1 Erdwärmesonde / Elektrozuleitung / Anschluss Fernwärme
(gerundet auf Tsd)</t>
  </si>
  <si>
    <t>Erdsonde / Elektrozuleitung / Anschlussgebühren FW [CHF]</t>
  </si>
  <si>
    <t>Hypothekarischer Referenzzinssatz bei Mietverhältnissen</t>
  </si>
  <si>
    <t>Preise für Fernwärme EKZ</t>
  </si>
  <si>
    <t>Technisches</t>
  </si>
  <si>
    <t>Bauliches</t>
  </si>
  <si>
    <t>Erdsonde/…/Anschlussg.</t>
  </si>
  <si>
    <t>Berechnungsgrundlagen - Stützwerte</t>
  </si>
  <si>
    <t xml:space="preserve">Berechnung der linearen Regression y= ax+b mit  a:Steigung  b:Achsenabschnitt </t>
  </si>
  <si>
    <t>b</t>
  </si>
  <si>
    <t>a</t>
  </si>
  <si>
    <t xml:space="preserve"> kW Heizleistungsbedarf</t>
  </si>
  <si>
    <t>Kostenformeln ausgewertet bei diesem Heizleistungsbedarf</t>
  </si>
  <si>
    <t>Log-Journal zu dieser Datei</t>
  </si>
  <si>
    <t>Datum</t>
  </si>
  <si>
    <t>Wer</t>
  </si>
  <si>
    <t>Version</t>
  </si>
  <si>
    <t>LF</t>
  </si>
  <si>
    <t>Änderung</t>
  </si>
  <si>
    <t>CG</t>
  </si>
  <si>
    <t>Tool erhalten und übernommen von der Abt. Energie Kt.AG</t>
  </si>
  <si>
    <t>Form.gültig</t>
  </si>
  <si>
    <t xml:space="preserve">Gültig bis: </t>
  </si>
  <si>
    <t xml:space="preserve">Version: </t>
  </si>
  <si>
    <t>Letzte Revision:</t>
  </si>
  <si>
    <t>V_0.12</t>
  </si>
  <si>
    <t>V_0.11</t>
  </si>
  <si>
    <t>V_0</t>
  </si>
  <si>
    <t>Erste Version entwickelt im Praktikum bei AWEL/Energie</t>
  </si>
  <si>
    <t>Investitionskostenberechnung ergänzt und automatisiert</t>
  </si>
  <si>
    <t>Objekt</t>
  </si>
  <si>
    <t>Lebenszykluskostenbestimmung für fossile Heizungen 
gemäss § 11 EnerG</t>
  </si>
  <si>
    <t>V_0.13</t>
  </si>
  <si>
    <r>
      <t>Landesindex der Konsumentengüter (Mai 2000=100)</t>
    </r>
    <r>
      <rPr>
        <vertAlign val="superscript"/>
        <sz val="11"/>
        <rFont val="Calibri"/>
        <family val="2"/>
        <scheme val="minor"/>
      </rPr>
      <t>6)</t>
    </r>
  </si>
  <si>
    <t>https://www.bfs.admin.ch/asset/de/cc-d-05.02.08   resp.     https://www.bfs.admin.ch/bfs/de/home/statistiken/preise/landesindex-konsumentenpreise.assetdetail.13407072.html</t>
  </si>
  <si>
    <t>https://www.bfs.admin.ch/asset/de/su-d-05.02.91    resp.      https://www.bfs.admin.ch/bfs/de/home/statistiken/preise/landesindex-konsumentenpreise/detailresultate.assetdetail.13407088.html</t>
  </si>
  <si>
    <t>Nachführung Daten Energiepreise Stand heute</t>
  </si>
  <si>
    <t xml:space="preserve"> </t>
  </si>
  <si>
    <t>EGID Abfrage ergänzt</t>
  </si>
  <si>
    <t>V_0.14</t>
  </si>
  <si>
    <t>Gemäss §11 Abs. 4 EnerG muss der Einbau von fossilen Heizungen mit einer Energiegewinnung von mind. 10% aus erneuerbaren Energien kombiniert werden.</t>
  </si>
  <si>
    <t>Erfüllung §11 Abs. 4 EnerG</t>
  </si>
  <si>
    <t>V_0.15</t>
  </si>
  <si>
    <t>Fehler bei Ziffer 3.3 korrigiert</t>
  </si>
  <si>
    <t>V_0.16</t>
  </si>
  <si>
    <t xml:space="preserve">Raumkosten korrigiert. Datum angepasst. </t>
  </si>
  <si>
    <t>V_0.17</t>
  </si>
  <si>
    <t>V_0.18</t>
  </si>
  <si>
    <t>Voraussichtlicher Förderbeitrag (Gemeinde)</t>
  </si>
  <si>
    <t>Voraussichtlicher Förderbeitrag (Kanton)</t>
  </si>
  <si>
    <t>Förderbeitrag von der Gemeinde (meistens mit der Förderung des Kantons kombinierbar).</t>
  </si>
  <si>
    <t>Voraussichtlicher Förderbeitrag (Weitere)</t>
  </si>
  <si>
    <t>Förderbeitrag von Weiteren (bspw. Energie Zukunft Schweiz AG oder MyClimate). Diese Förderung ist meistens nicht mit der Förderung des Kantons kombinierbar. In diesem Fall bitte Förderung des Kantons im hellgelben Feld auf 0 setzen.</t>
  </si>
  <si>
    <t>Elektro, Baumeister etc. Richtwerte können durch manuelle Eingabe in das gelbe Feld übersteuert werden.</t>
  </si>
  <si>
    <t>3./4./5.</t>
  </si>
  <si>
    <r>
      <t>bis 15 kW</t>
    </r>
    <r>
      <rPr>
        <vertAlign val="subscript"/>
        <sz val="9"/>
        <color theme="1"/>
        <rFont val="Arial"/>
        <family val="2"/>
      </rPr>
      <t>th</t>
    </r>
    <r>
      <rPr>
        <sz val="9"/>
        <color theme="1"/>
        <rFont val="Arial"/>
        <family val="2"/>
      </rPr>
      <t xml:space="preserve"> [Fr.]</t>
    </r>
  </si>
  <si>
    <r>
      <t>bis 15 kW</t>
    </r>
    <r>
      <rPr>
        <vertAlign val="subscript"/>
        <sz val="9"/>
        <color theme="1"/>
        <rFont val="Arial"/>
        <family val="2"/>
      </rPr>
      <t>th</t>
    </r>
    <r>
      <rPr>
        <sz val="9"/>
        <color theme="1"/>
        <rFont val="Arial"/>
        <family val="2"/>
      </rPr>
      <t xml:space="preserve"> [Fr. pro kW</t>
    </r>
    <r>
      <rPr>
        <vertAlign val="subscript"/>
        <sz val="9"/>
        <color theme="1"/>
        <rFont val="Arial"/>
        <family val="2"/>
      </rPr>
      <t>th</t>
    </r>
    <r>
      <rPr>
        <sz val="9"/>
        <color theme="1"/>
        <rFont val="Arial"/>
        <family val="2"/>
      </rPr>
      <t>]</t>
    </r>
  </si>
  <si>
    <r>
      <t>ab 15 kW</t>
    </r>
    <r>
      <rPr>
        <vertAlign val="subscript"/>
        <sz val="9"/>
        <color theme="1"/>
        <rFont val="Arial"/>
        <family val="2"/>
      </rPr>
      <t>th</t>
    </r>
    <r>
      <rPr>
        <sz val="9"/>
        <color theme="1"/>
        <rFont val="Arial"/>
        <family val="2"/>
      </rPr>
      <t xml:space="preserve"> [Fr.]</t>
    </r>
  </si>
  <si>
    <r>
      <t>ab 15 kW</t>
    </r>
    <r>
      <rPr>
        <vertAlign val="subscript"/>
        <sz val="9"/>
        <color theme="1"/>
        <rFont val="Arial"/>
        <family val="2"/>
      </rPr>
      <t>th</t>
    </r>
    <r>
      <rPr>
        <sz val="9"/>
        <color theme="1"/>
        <rFont val="Arial"/>
        <family val="2"/>
      </rPr>
      <t xml:space="preserve"> [Fr. pro kW</t>
    </r>
    <r>
      <rPr>
        <vertAlign val="subscript"/>
        <sz val="9"/>
        <color theme="1"/>
        <rFont val="Arial"/>
        <family val="2"/>
      </rPr>
      <t>th</t>
    </r>
    <r>
      <rPr>
        <sz val="9"/>
        <color theme="1"/>
        <rFont val="Arial"/>
        <family val="2"/>
      </rPr>
      <t>]</t>
    </r>
  </si>
  <si>
    <t>https://www.strompreis.elcom.admin.ch/</t>
  </si>
  <si>
    <t>https://www.strompreis.elcom.admin.ch/ (Preise = Totalpreise von Standardprodukt / ab 2018 Standartprodukt, vorher günstigstes Produkt)</t>
  </si>
  <si>
    <t>https://www.bafu.admin.ch/bafu/de/home/themen/klima/fachinformationen/verminderungsmassnahmen/co2-abgabe.html</t>
  </si>
  <si>
    <t>Technik und Bauliches (Standardwert / Nachweis)</t>
  </si>
  <si>
    <t>Honorare (Standardwert / Nachweis)</t>
  </si>
  <si>
    <t>25-50</t>
  </si>
  <si>
    <t>Heizleistung [kW]</t>
  </si>
  <si>
    <t>= (0.2 * Heizleistung + 5) * 2.4</t>
  </si>
  <si>
    <t>= 10 * 2.4</t>
  </si>
  <si>
    <t>50-70</t>
  </si>
  <si>
    <t>= (0.1 * Heizleistung + 10) * 2.8</t>
  </si>
  <si>
    <t>= (0.1 * Heizleistung + 10) * 2.4</t>
  </si>
  <si>
    <t>70-100</t>
  </si>
  <si>
    <t>100-250</t>
  </si>
  <si>
    <t>= (0.0667 * Heizleistung + 13.333) * 2.8</t>
  </si>
  <si>
    <t>250-500</t>
  </si>
  <si>
    <t>= (0.06 * Heizleistung + 15) * 2.8</t>
  </si>
  <si>
    <t>&gt; 500</t>
  </si>
  <si>
    <t>&lt; 25</t>
  </si>
  <si>
    <t>= (0.06 * Heizleistung + 15) * 3</t>
  </si>
  <si>
    <t>Heizleistungsbedarf [kW]</t>
  </si>
  <si>
    <t>= 15 * 2.4</t>
  </si>
  <si>
    <t>= (0.4 * Heizleistung + 5) * 2.4</t>
  </si>
  <si>
    <t>= (0.2 * Heizleistung + 15) * 2.4</t>
  </si>
  <si>
    <t>= (0.2 * Heizleistung + 15) * 2.8</t>
  </si>
  <si>
    <t>= (0.1667 * Heizleistung + 18.333) * 3</t>
  </si>
  <si>
    <t>&gt;250</t>
  </si>
  <si>
    <t>= (0.16 * Heizleistung + 20) * 3.5</t>
  </si>
  <si>
    <r>
      <t>Raumbedarf [m</t>
    </r>
    <r>
      <rPr>
        <vertAlign val="superscript"/>
        <sz val="9"/>
        <color theme="1"/>
        <rFont val="Arial"/>
        <family val="2"/>
      </rPr>
      <t>3</t>
    </r>
    <r>
      <rPr>
        <sz val="9"/>
        <color theme="1"/>
        <rFont val="Arial"/>
        <family val="2"/>
      </rPr>
      <t>]</t>
    </r>
  </si>
  <si>
    <t>3.5 Voraussichtlicher Förderbeitrag (Kanton)</t>
  </si>
  <si>
    <t>Vorgabe erfüllt mit folgender Massnahme</t>
  </si>
  <si>
    <t>= Faktor * Raumbedarf Gasheizung</t>
  </si>
  <si>
    <t>Formel Heizkessel</t>
  </si>
  <si>
    <t>Formel Raumbedarf</t>
  </si>
  <si>
    <t>= Heizleistung * 2000 / 10 / 1000 * 1.3</t>
  </si>
  <si>
    <r>
      <t>Raumbedarf + Heizkessel [m</t>
    </r>
    <r>
      <rPr>
        <vertAlign val="superscript"/>
        <sz val="9"/>
        <color theme="1"/>
        <rFont val="Arial"/>
        <family val="2"/>
      </rPr>
      <t>3</t>
    </r>
    <r>
      <rPr>
        <sz val="9"/>
        <color theme="1"/>
        <rFont val="Arial"/>
        <family val="2"/>
      </rPr>
      <t>]</t>
    </r>
  </si>
  <si>
    <t>Faktor für Umrechnung Raumbedarf Gasheizung zu Fernwärme, WP-Luft (a), WP-Wasser, WP-Sonde</t>
  </si>
  <si>
    <t>Gebäudeinformationen</t>
  </si>
  <si>
    <t>Gebäudeinformationen bereinigt</t>
  </si>
  <si>
    <t>EBF</t>
  </si>
  <si>
    <t>Energie-/Wärmequelle 1</t>
  </si>
  <si>
    <t>Energie-/Wärmequelle 2</t>
  </si>
  <si>
    <t>Adresse</t>
  </si>
  <si>
    <t>Bezeichnung des Bauvorhabens</t>
  </si>
  <si>
    <t>Code</t>
  </si>
  <si>
    <t>Keine</t>
  </si>
  <si>
    <t>Luft</t>
  </si>
  <si>
    <t>Luft-Wasser Wärmepumpe</t>
  </si>
  <si>
    <t>Erdwärme (generisch)</t>
  </si>
  <si>
    <t>Sole-Wasser Wärmepumpe</t>
  </si>
  <si>
    <t>Erdwärmesonde</t>
  </si>
  <si>
    <t>Andere</t>
  </si>
  <si>
    <t>Unbestimmt</t>
  </si>
  <si>
    <t>Erdregister</t>
  </si>
  <si>
    <t>Wasser (Grundwasser, Oberflächenwasser, Abwasser)</t>
  </si>
  <si>
    <t>Gas</t>
  </si>
  <si>
    <t>Heizöl</t>
  </si>
  <si>
    <t>Holz (generisch)</t>
  </si>
  <si>
    <t>Holz (Stückholz)</t>
  </si>
  <si>
    <t>Holz (Pellets)</t>
  </si>
  <si>
    <t>Holz (Schnitzel)</t>
  </si>
  <si>
    <t>Abwärme (innerhalb des Gebäudes)</t>
  </si>
  <si>
    <t>Elektrizität</t>
  </si>
  <si>
    <t>Sonne (thermisch)</t>
  </si>
  <si>
    <t>Fernwärme (generisch)</t>
  </si>
  <si>
    <t>Fernwärme (Hochtemperatur)</t>
  </si>
  <si>
    <t>Fernwärme (Niedertemperatur)</t>
  </si>
  <si>
    <t>Luft-Luft Wärmepumpe</t>
  </si>
  <si>
    <t>Ölheizung</t>
  </si>
  <si>
    <t>Holzheizung</t>
  </si>
  <si>
    <t>Stückholzheizung</t>
  </si>
  <si>
    <t>Pelletsheizung</t>
  </si>
  <si>
    <t>Schnitzelheizung</t>
  </si>
  <si>
    <t>Abwärme</t>
  </si>
  <si>
    <t>Elektroheizung</t>
  </si>
  <si>
    <t>Thermische Solaranlage</t>
  </si>
  <si>
    <t>Unbekannt</t>
  </si>
  <si>
    <t>Daten gemäss Eidg. Gebäude- und Wohnungsregister (GWR)</t>
  </si>
  <si>
    <t>= Nutzenergiebedarf / (5.5 kWh/kg * 600 kg/m³ * 0.7)</t>
  </si>
  <si>
    <t>Nutzenergiebedarf [kWh]</t>
  </si>
  <si>
    <t>alle</t>
  </si>
  <si>
    <t>= Nutzenergiebedarf / (1000 kWh/m³ * 0.7)</t>
  </si>
  <si>
    <t>Holzschnitzel [Rp./kWh inkl. aktueller MwSt.]</t>
  </si>
  <si>
    <r>
      <t>Holzschnitzel [Referenzpreis 2019 exkl. MwSt.]</t>
    </r>
    <r>
      <rPr>
        <vertAlign val="superscript"/>
        <sz val="11"/>
        <color rgb="FF002060"/>
        <rFont val="Calibri"/>
        <family val="2"/>
        <scheme val="minor"/>
      </rPr>
      <t>11)</t>
    </r>
  </si>
  <si>
    <t>20)</t>
  </si>
  <si>
    <t>https://www.holzenergie.ch/fileadmin/user_resources/01_Holzenergie/Energieholz_Richtpreise/22_Preisindex_Schnitzel.pdf</t>
  </si>
  <si>
    <r>
      <t>Holzschnitzel Preisindex Schnitzel</t>
    </r>
    <r>
      <rPr>
        <vertAlign val="superscript"/>
        <sz val="11"/>
        <color rgb="FF002060"/>
        <rFont val="Calibri"/>
        <family val="2"/>
        <scheme val="minor"/>
      </rPr>
      <t>20)</t>
    </r>
  </si>
  <si>
    <r>
      <t>Holzschnitzel [Rp./kWh exkl. MwSt.]</t>
    </r>
    <r>
      <rPr>
        <vertAlign val="superscript"/>
        <sz val="11"/>
        <color rgb="FF002060"/>
        <rFont val="Calibri"/>
        <family val="2"/>
        <scheme val="minor"/>
      </rPr>
      <t>21)</t>
    </r>
  </si>
  <si>
    <t>21)</t>
  </si>
  <si>
    <t>Berechnung des Holzschnitzelpreises anhand des Erfahrungswerte von Andreas Keel aus dem Jahr 2019 und mit Hilfe des Preisindex: Preis 2019 x Index aktuelles Jahr / Index 2019</t>
  </si>
  <si>
    <t>Wärmeerzeuger Heizung 1</t>
  </si>
  <si>
    <t>Wärmeerzeuger Heizung 2</t>
  </si>
  <si>
    <t>Wärmeerzeuger Warmwasser 1</t>
  </si>
  <si>
    <t>Energie-/Wärmequelle Warmwasser 1</t>
  </si>
  <si>
    <t>Wärmeerzeuger Warmwasser 2</t>
  </si>
  <si>
    <t xml:space="preserve">EGID Nummer: </t>
  </si>
  <si>
    <t xml:space="preserve">Wärmeerzeuger 1: </t>
  </si>
  <si>
    <t>Energiebezugsfläche [m²]:</t>
  </si>
  <si>
    <t xml:space="preserve">Wärmeerzeuger 2: </t>
  </si>
  <si>
    <t>Fernwärme, WP-Luft (a), WP-Sonde, WP-Wasser (einheitlich zur Vereinfachung)</t>
  </si>
  <si>
    <t>Nutzungsgrad / JAZ kann in hellgelben Feldern übersteuert werden. Falls die manuelle Eingabe den üblichen Maximalwert überschreitet, erscheint er in rot.</t>
  </si>
  <si>
    <t>Weitere Baukosten mit Amortisation 40 Jahre</t>
  </si>
  <si>
    <t>Studie Externer Auftrag</t>
  </si>
  <si>
    <t>HGT</t>
  </si>
  <si>
    <t>Merkblatt SIA 2028: 2010, Korrigenda 2015</t>
  </si>
  <si>
    <t>Falls EGID und Karte nicht angezeigt werden: Adresse ergänzen/ändern.</t>
  </si>
  <si>
    <t>Erdwärmesonde, Elektro-/Gaszuleitung auf 40 Jahre (4.1)</t>
  </si>
  <si>
    <t>Weitere Kosten (4.1)</t>
  </si>
  <si>
    <t>Weitere Kosten auf 40 Jahre (4.1)</t>
  </si>
  <si>
    <t>Freier Text</t>
  </si>
  <si>
    <t>Bezeichnung des Bauvorhabens (frei wählbar).</t>
  </si>
  <si>
    <t>"Strasse Nummer PLZ Ort" des Bauvorhabens.</t>
  </si>
  <si>
    <t>Gebäudekategorie wählen mit Pulldown-Menü.</t>
  </si>
  <si>
    <t>Stromverbraucherprofil gemäss Stromabrechnung (wird automatisch anhand der Gebäudekategorie berechnet, kann aber überschrieben werden).</t>
  </si>
  <si>
    <t>Energiebezugsfläche: Der Wert aus dem GWR, falls vorhanden, kann als Richtwert dienen (Zelle E7). Achtung bei Gebäuden mit Heizungen, wo mehrere Gebäude an die Heizung angehängt sind.</t>
  </si>
  <si>
    <t>Heizleistungsbedarf (nach SIA 384/2 oder 384.201 wenn vorhanden).</t>
  </si>
  <si>
    <t>Manuelle Eingabe in hellgelbes Feld übersteuert automatische Berechnung (mit separatem Nachweis von Verbrauchszahlen vergangener Jahre zu belegen).</t>
  </si>
  <si>
    <t>Möglichkeit eines Fernwärmeanschlusses.</t>
  </si>
  <si>
    <t>Auswahl von Anbietern (Zürich oder Winterthur) oder Eingabe von eigenem Verbund ("manuelle Eingabe" überschreiben).</t>
  </si>
  <si>
    <t>Fossile Heizung: Gasheizung.</t>
  </si>
  <si>
    <t>Falls unter 1.8 eine manuelle Eingabe getätigt wurde, bitte Energiepreis der Fernwärme im hellgelben Feld überschreiben und mit separatem Nachweis belegen.</t>
  </si>
  <si>
    <t>Welche Massnahme wird für die Erfüllung des §11 Abs. 4 EnerG umgesetzt? Bitte mit einem Stichwort beschreiben.</t>
  </si>
  <si>
    <t>Investitionskosten, die über 40 Jahre amortisiert werden (im Gegensatz zu Investitionen in Technisches, welche über 20 Jahre amortisiert werden), Beispiel: Sockel.</t>
  </si>
  <si>
    <t>Manuelle Eingabe mit separatem Nachweis belegen, ohne Eingabe wird mit Standard-Wert gerechnet.</t>
  </si>
  <si>
    <t>Holzenergie Schweiz, Erfahrungswerte, Kontakt: Andreas Keel (keel@holzenergie.ch) und Schnitzelindex</t>
  </si>
  <si>
    <t>Wärmeerzeuger</t>
  </si>
  <si>
    <t>Kein Wärmeerzeuger</t>
  </si>
  <si>
    <t>Wärmepumpe für ein Gebäude</t>
  </si>
  <si>
    <t>Wärmepumpe für mehrere Gebäude</t>
  </si>
  <si>
    <t>Thermische Solaranlage für ein Gebäude</t>
  </si>
  <si>
    <t>Thermische Solaranlage für mehrere Gebäude</t>
  </si>
  <si>
    <t>Heizkessel (generisch) für ein Gebäude</t>
  </si>
  <si>
    <t>Heizkessel (generisch) für mehrere Gebäude</t>
  </si>
  <si>
    <t>Heizkessel nicht kondensierend für ein Gebäude</t>
  </si>
  <si>
    <t>Heizkessel nicht kondensierend für mehrere Gebäude</t>
  </si>
  <si>
    <t>Heizkessel kondensierend für ein Gebäude</t>
  </si>
  <si>
    <t>Heizkessel kondensierend für mehrere Gebäude</t>
  </si>
  <si>
    <t>Ofen</t>
  </si>
  <si>
    <t>Wärmekraftkopplungsanlage für ein Gebäude</t>
  </si>
  <si>
    <t>Wärmekraftkopplungsanlage für mehrere Gebäude</t>
  </si>
  <si>
    <t>Elektrospeicher-Zentralheizung für ein Gebäude</t>
  </si>
  <si>
    <t>Elektrospeicher-Zentralheizung für mehrere Gebäude</t>
  </si>
  <si>
    <t>Wärmetauscher (einschliesslich für Fernwärme) für ein Gebäude</t>
  </si>
  <si>
    <t>Wärmetauscher (einschliesslich für Fernwärme) für mehrere Gebäude</t>
  </si>
  <si>
    <t>Heizsystem (Übersetzung)</t>
  </si>
  <si>
    <t>Resultat</t>
  </si>
  <si>
    <t>Übersetzung</t>
  </si>
  <si>
    <t>EGID_EDID</t>
  </si>
  <si>
    <t>Webseite GWR</t>
  </si>
  <si>
    <t>Energie-/Wärmequelle Heizung/Warmwasser</t>
  </si>
  <si>
    <t>Bemerkung: Die Ergebnisse in der oberen Tabelle sind nur Richtwerte. Die Übersetzung der Energie-/Wärmequellen kann unten nachgelesen werden.</t>
  </si>
  <si>
    <t>Nutzungsgrad / Jahresarbeitszahl (gemäss Formular EN101b EnDK) und FAWA Studie</t>
  </si>
  <si>
    <t>Quelle Formular EN101b EnDK</t>
  </si>
  <si>
    <t>Formular EN101b EnDK</t>
  </si>
  <si>
    <t>Annäherung: Wie Erdwärme Sonde</t>
  </si>
  <si>
    <t>Quelle FAWA Studie</t>
  </si>
  <si>
    <r>
      <t>Zusatzbeitrag Erstinstallation Wärmeverteilsystem [Fr. pro kW</t>
    </r>
    <r>
      <rPr>
        <vertAlign val="subscript"/>
        <sz val="9"/>
        <color theme="2" tint="-0.249977111117893"/>
        <rFont val="Arial"/>
        <family val="2"/>
      </rPr>
      <t>th</t>
    </r>
    <r>
      <rPr>
        <sz val="9"/>
        <color theme="2" tint="-0.249977111117893"/>
        <rFont val="Arial"/>
        <family val="2"/>
      </rPr>
      <t>]</t>
    </r>
  </si>
  <si>
    <t>Zusatzbeitrag wird in der Berechnung nicht berücksichtigt</t>
  </si>
  <si>
    <t>Variabel</t>
  </si>
  <si>
    <t>GWAERZH1</t>
  </si>
  <si>
    <t>GWAERZH2</t>
  </si>
  <si>
    <t>GENH1</t>
  </si>
  <si>
    <t>GENH2</t>
  </si>
  <si>
    <t>GWAERZW1</t>
  </si>
  <si>
    <t>GWAERZW2</t>
  </si>
  <si>
    <t>GENW1</t>
  </si>
  <si>
    <t>GENW2</t>
  </si>
  <si>
    <t>GEBF</t>
  </si>
  <si>
    <t>Resultat Text</t>
  </si>
  <si>
    <t>Wärmeerzeuger Heizung</t>
  </si>
  <si>
    <t>Wärmeerzeuger Warmwasser</t>
  </si>
  <si>
    <t>Wärmepumpe</t>
  </si>
  <si>
    <t>Heizkessel (generisch)</t>
  </si>
  <si>
    <t>Heizkessel nicht kondensierend</t>
  </si>
  <si>
    <t>Heizkessel kondensierend</t>
  </si>
  <si>
    <t>Wärmekraftkopplungsanlage</t>
  </si>
  <si>
    <t>Zentraler Elektroboiler</t>
  </si>
  <si>
    <t>Kleinboiler</t>
  </si>
  <si>
    <t>Wärmetauscher (einschliesslich für Fernwärme)</t>
  </si>
  <si>
    <t>Die Daten aus dem GWR dienen nur zur Überprüfung und als Richtwert.</t>
  </si>
  <si>
    <t>Resultat (code)</t>
  </si>
  <si>
    <t xml:space="preserve">Änderungen / Nachführungen </t>
  </si>
  <si>
    <t>Bereinigung / Abschluss</t>
  </si>
  <si>
    <t>V_0.19</t>
  </si>
  <si>
    <t>Nachführungen, Test</t>
  </si>
  <si>
    <t>gemäss Formular EN-101b EnDK (Version 2.0) und Studie FAWA – Feldanalyse von Wärmepumpen-Anlagen</t>
  </si>
  <si>
    <t>V_0.20</t>
  </si>
  <si>
    <t>V_1.0</t>
  </si>
  <si>
    <t>Erste Version Online</t>
  </si>
  <si>
    <t>Bereitstellung für Abgabe, Schlusstests</t>
  </si>
  <si>
    <t>V_1.0.1</t>
  </si>
  <si>
    <t>Jahreskosten</t>
  </si>
  <si>
    <t>Heizkosten</t>
  </si>
  <si>
    <t>Sys4</t>
  </si>
  <si>
    <t>Sys5</t>
  </si>
  <si>
    <t>Sys3</t>
  </si>
  <si>
    <t>Sys2</t>
  </si>
  <si>
    <t>Sys1</t>
  </si>
  <si>
    <t>105% - Wert</t>
  </si>
  <si>
    <t>Heizsystem</t>
  </si>
  <si>
    <t>V_1.0.2</t>
  </si>
  <si>
    <t>Strompreis (C7)7) [Rp./kWh exkl. MwSt.]8)</t>
  </si>
  <si>
    <t>Strompreis (C7)7) [Rp./kWh inkl. aktueller MwSt.]</t>
  </si>
  <si>
    <t>Strompreis (H1)7) [Rp./kWh exkl. MwSt.]8)</t>
  </si>
  <si>
    <t>Strompreis (H1)7) [Rp./kWh inkl. aktueller MwSt.]</t>
  </si>
  <si>
    <t>V_1.0.3</t>
  </si>
  <si>
    <t>Sortierung Stromtarife "C" vor "H" wegen SVERWEIS()-Fkt.</t>
  </si>
  <si>
    <t>Tab. Bild eingefügt, Formel in Berechnung!D56:L56 korr.</t>
  </si>
  <si>
    <t>Zelle Berechnung!D24: " " durch "" ersetzt</t>
  </si>
  <si>
    <r>
      <t>Fernwärme ERZ Zürich Leistungspreis [Fr./Jahr exkl. MwSt.]</t>
    </r>
    <r>
      <rPr>
        <vertAlign val="superscript"/>
        <sz val="11"/>
        <color rgb="FFCC3399"/>
        <rFont val="Calibri"/>
        <family val="2"/>
        <scheme val="minor"/>
      </rPr>
      <t>16)</t>
    </r>
  </si>
  <si>
    <t>V_1.0.4</t>
  </si>
  <si>
    <r>
      <t>Fernwärme StWW Winterthur Leistungspreis [Fr./Jahr exkl. MwSt.]</t>
    </r>
    <r>
      <rPr>
        <vertAlign val="superscript"/>
        <sz val="11"/>
        <color rgb="FFCC3399"/>
        <rFont val="Calibri"/>
        <family val="2"/>
        <scheme val="minor"/>
      </rPr>
      <t>17) 18)</t>
    </r>
  </si>
  <si>
    <t>Tab. 2.3 EnPreise: Fehler in Formel korr. D78 [C77], D84 [C83], Tab GWR D9-D17: Anpassung an neues API des BFS</t>
  </si>
  <si>
    <t>V_1.0.5</t>
  </si>
  <si>
    <t>V_1.0.6</t>
  </si>
  <si>
    <t>V_1.0.7</t>
  </si>
  <si>
    <t xml:space="preserve">Fehler in Formel Förderbeiträge gross (&gt;15kW) korrigiert: Berechnungsgrundlagen!F80-F84 </t>
  </si>
  <si>
    <t>Nachführung Daten Zinssatz, Stand heute</t>
  </si>
  <si>
    <t>V_1.0.8</t>
  </si>
  <si>
    <t>V_1.0.9</t>
  </si>
  <si>
    <t>V_1.0.10</t>
  </si>
  <si>
    <t xml:space="preserve">Nachführung Link zur Karte vom GWR des Bundes </t>
  </si>
  <si>
    <t>v_1.0.11</t>
  </si>
  <si>
    <t>MT</t>
  </si>
  <si>
    <t>https://www.holzenergie.ch/fachthemen/preisindex-schnitzel-und-holzpellets</t>
  </si>
  <si>
    <t>Nachführung Zinssatz, Energiepreise Pellet, Schnitzel, Öl, Gas (alle 2023) Arbeitspreis Fernwärme, Datenprüfung Zahlenwert Felder J29:M29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</si>
</sst>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0.0"/>
    <numFmt numFmtId="165" formatCode="0.000000000000%"/>
    <numFmt numFmtId="166" formatCode="0&quot; W/m²&quot;"/>
    <numFmt numFmtId="167" formatCode="0,"/>
    <numFmt numFmtId="168" formatCode="0.0000"/>
    <numFmt numFmtId="169" formatCode="0.000"/>
    <numFmt numFmtId="170" formatCode="0.000000000"/>
    <numFmt numFmtId="171" formatCode="_ * #,##0_ ;_ * \-#,##0_ ;_ * &quot;-&quot;??_ ;_ @_ "/>
    <numFmt numFmtId="172" formatCode="_ * #,##0_ ;_ * \-#,##0_ "/>
  </numFmts>
  <fonts count="69" x14ac:knownFonts="1">
    <font>
      <sz val="11"/>
      <color theme="1"/>
      <name val="Calibri"/>
      <family val="2"/>
      <scheme val="minor"/>
    </font>
    <font>
      <sz val="9"/>
      <name val="Arial"/>
      <family val="2"/>
    </font>
    <font>
      <sz val="10"/>
      <name val="Arial"/>
      <family val="2"/>
    </font>
    <font>
      <b/>
      <sz val="9"/>
      <name val="Arial"/>
      <family val="2"/>
    </font>
    <font>
      <sz val="11"/>
      <color theme="1"/>
      <name val="Arial"/>
      <family val="2"/>
    </font>
    <font>
      <sz val="9"/>
      <color theme="1"/>
      <name val="Arial"/>
      <family val="2"/>
    </font>
    <font>
      <sz val="11"/>
      <color rgb="FFFF0000"/>
      <name val="Calibri"/>
      <family val="2"/>
      <scheme val="minor"/>
    </font>
    <font>
      <sz val="9"/>
      <color rgb="FFFF0000"/>
      <name val="Arial"/>
      <family val="2"/>
    </font>
    <font>
      <u/>
      <sz val="11"/>
      <color theme="10"/>
      <name val="Calibri"/>
      <family val="2"/>
      <scheme val="minor"/>
    </font>
    <font>
      <vertAlign val="subscript"/>
      <sz val="9"/>
      <name val="Arial"/>
      <family val="2"/>
    </font>
    <font>
      <b/>
      <sz val="11"/>
      <color theme="1"/>
      <name val="Calibri"/>
      <family val="2"/>
      <scheme val="minor"/>
    </font>
    <font>
      <vertAlign val="subscript"/>
      <sz val="9"/>
      <color theme="1"/>
      <name val="Arial"/>
      <family val="2"/>
    </font>
    <font>
      <b/>
      <sz val="9"/>
      <color theme="1"/>
      <name val="Arial"/>
      <family val="2"/>
    </font>
    <font>
      <vertAlign val="superscript"/>
      <sz val="11"/>
      <color theme="1"/>
      <name val="Calibri"/>
      <family val="2"/>
      <scheme val="minor"/>
    </font>
    <font>
      <sz val="11"/>
      <name val="Calibri"/>
      <family val="2"/>
      <scheme val="minor"/>
    </font>
    <font>
      <b/>
      <vertAlign val="superscript"/>
      <sz val="9"/>
      <color theme="1"/>
      <name val="Arial"/>
      <family val="2"/>
    </font>
    <font>
      <b/>
      <sz val="11"/>
      <name val="Calibri"/>
      <family val="2"/>
      <scheme val="minor"/>
    </font>
    <font>
      <sz val="11"/>
      <color theme="1"/>
      <name val="Calibri"/>
      <family val="2"/>
      <scheme val="minor"/>
    </font>
    <font>
      <b/>
      <sz val="11"/>
      <color rgb="FF171717"/>
      <name val="Arial"/>
      <family val="2"/>
    </font>
    <font>
      <b/>
      <u/>
      <sz val="11"/>
      <color theme="10"/>
      <name val="Calibri"/>
      <family val="2"/>
      <scheme val="minor"/>
    </font>
    <font>
      <sz val="10"/>
      <name val="MS Sans Serif"/>
      <family val="2"/>
    </font>
    <font>
      <sz val="10"/>
      <name val="MS Sans Serif"/>
    </font>
    <font>
      <sz val="11"/>
      <color theme="9" tint="-0.249977111117893"/>
      <name val="Calibri"/>
      <family val="2"/>
      <scheme val="minor"/>
    </font>
    <font>
      <vertAlign val="superscript"/>
      <sz val="11"/>
      <color theme="9" tint="-0.249977111117893"/>
      <name val="Calibri"/>
      <family val="2"/>
      <scheme val="minor"/>
    </font>
    <font>
      <b/>
      <sz val="11"/>
      <color theme="9" tint="-0.249977111117893"/>
      <name val="Calibri"/>
      <family val="2"/>
      <scheme val="minor"/>
    </font>
    <font>
      <sz val="11"/>
      <color theme="8" tint="-0.249977111117893"/>
      <name val="Calibri"/>
      <family val="2"/>
      <scheme val="minor"/>
    </font>
    <font>
      <vertAlign val="subscript"/>
      <sz val="11"/>
      <color theme="8" tint="-0.249977111117893"/>
      <name val="Calibri"/>
      <family val="2"/>
      <scheme val="minor"/>
    </font>
    <font>
      <vertAlign val="superscript"/>
      <sz val="11"/>
      <color theme="8" tint="-0.249977111117893"/>
      <name val="Calibri"/>
      <family val="2"/>
      <scheme val="minor"/>
    </font>
    <font>
      <sz val="11"/>
      <color theme="7" tint="-0.249977111117893"/>
      <name val="Calibri"/>
      <family val="2"/>
      <scheme val="minor"/>
    </font>
    <font>
      <vertAlign val="subscript"/>
      <sz val="11"/>
      <color theme="7" tint="-0.249977111117893"/>
      <name val="Calibri"/>
      <family val="2"/>
      <scheme val="minor"/>
    </font>
    <font>
      <vertAlign val="superscript"/>
      <sz val="11"/>
      <color theme="7" tint="-0.249977111117893"/>
      <name val="Calibri"/>
      <family val="2"/>
      <scheme val="minor"/>
    </font>
    <font>
      <sz val="10"/>
      <name val="Arial"/>
      <family val="2"/>
    </font>
    <font>
      <sz val="11"/>
      <color rgb="FF7030A0"/>
      <name val="Calibri"/>
      <family val="2"/>
      <scheme val="minor"/>
    </font>
    <font>
      <vertAlign val="superscript"/>
      <sz val="11"/>
      <color rgb="FF7030A0"/>
      <name val="Calibri"/>
      <family val="2"/>
      <scheme val="minor"/>
    </font>
    <font>
      <b/>
      <sz val="9"/>
      <color theme="0" tint="-0.249977111117893"/>
      <name val="Arial"/>
      <family val="2"/>
    </font>
    <font>
      <sz val="9"/>
      <color theme="0" tint="-0.249977111117893"/>
      <name val="Arial"/>
      <family val="2"/>
    </font>
    <font>
      <sz val="11"/>
      <color rgb="FFCC3399"/>
      <name val="Calibri"/>
      <family val="2"/>
      <scheme val="minor"/>
    </font>
    <font>
      <vertAlign val="superscript"/>
      <sz val="11"/>
      <color rgb="FFCC3399"/>
      <name val="Calibri"/>
      <family val="2"/>
      <scheme val="minor"/>
    </font>
    <font>
      <vertAlign val="subscript"/>
      <sz val="11"/>
      <color rgb="FFCC3399"/>
      <name val="Calibri"/>
      <family val="2"/>
      <scheme val="minor"/>
    </font>
    <font>
      <b/>
      <vertAlign val="superscript"/>
      <sz val="9"/>
      <name val="Arial"/>
      <family val="2"/>
    </font>
    <font>
      <vertAlign val="subscript"/>
      <sz val="11"/>
      <name val="Calibri"/>
      <family val="2"/>
      <scheme val="minor"/>
    </font>
    <font>
      <vertAlign val="superscript"/>
      <sz val="11"/>
      <name val="Calibri"/>
      <family val="2"/>
      <scheme val="minor"/>
    </font>
    <font>
      <b/>
      <sz val="11"/>
      <color rgb="FF7030A0"/>
      <name val="Calibri"/>
      <family val="2"/>
      <scheme val="minor"/>
    </font>
    <font>
      <b/>
      <sz val="11"/>
      <color theme="7" tint="-0.249977111117893"/>
      <name val="Calibri"/>
      <family val="2"/>
      <scheme val="minor"/>
    </font>
    <font>
      <b/>
      <sz val="11"/>
      <color theme="8" tint="-0.249977111117893"/>
      <name val="Calibri"/>
      <family val="2"/>
      <scheme val="minor"/>
    </font>
    <font>
      <sz val="11"/>
      <color rgb="FF002060"/>
      <name val="Calibri"/>
      <family val="2"/>
      <scheme val="minor"/>
    </font>
    <font>
      <b/>
      <sz val="11"/>
      <color rgb="FF002060"/>
      <name val="Calibri"/>
      <family val="2"/>
      <scheme val="minor"/>
    </font>
    <font>
      <b/>
      <sz val="11"/>
      <color rgb="FFCC3399"/>
      <name val="Calibri"/>
      <family val="2"/>
      <scheme val="minor"/>
    </font>
    <font>
      <u/>
      <sz val="11"/>
      <name val="Calibri"/>
      <family val="2"/>
      <scheme val="minor"/>
    </font>
    <font>
      <vertAlign val="superscript"/>
      <sz val="11"/>
      <color rgb="FF002060"/>
      <name val="Calibri"/>
      <family val="2"/>
      <scheme val="minor"/>
    </font>
    <font>
      <sz val="11"/>
      <color theme="2" tint="-9.9978637043366805E-2"/>
      <name val="Calibri"/>
      <family val="2"/>
      <scheme val="minor"/>
    </font>
    <font>
      <b/>
      <sz val="14"/>
      <color theme="1"/>
      <name val="Calibri"/>
      <family val="2"/>
      <scheme val="minor"/>
    </font>
    <font>
      <b/>
      <sz val="11"/>
      <color rgb="FF0070C0"/>
      <name val="Calibri"/>
      <family val="2"/>
      <scheme val="minor"/>
    </font>
    <font>
      <sz val="9"/>
      <color theme="0"/>
      <name val="Arial"/>
      <family val="2"/>
    </font>
    <font>
      <sz val="11"/>
      <color theme="0"/>
      <name val="Arial"/>
      <family val="2"/>
    </font>
    <font>
      <sz val="9"/>
      <color rgb="FF0070C0"/>
      <name val="Arial"/>
      <family val="2"/>
    </font>
    <font>
      <sz val="11"/>
      <color rgb="FFFF0000"/>
      <name val="Arial"/>
      <family val="2"/>
    </font>
    <font>
      <vertAlign val="superscript"/>
      <sz val="9"/>
      <color theme="1"/>
      <name val="Arial"/>
      <family val="2"/>
    </font>
    <font>
      <sz val="8"/>
      <name val="Calibri"/>
      <family val="2"/>
      <scheme val="minor"/>
    </font>
    <font>
      <sz val="11"/>
      <name val="Arial"/>
      <family val="2"/>
    </font>
    <font>
      <b/>
      <sz val="10"/>
      <name val="Arial"/>
      <family val="2"/>
    </font>
    <font>
      <b/>
      <sz val="11"/>
      <name val="Arial"/>
      <family val="2"/>
    </font>
    <font>
      <u/>
      <sz val="9"/>
      <color theme="10"/>
      <name val="Arial"/>
      <family val="2"/>
    </font>
    <font>
      <b/>
      <sz val="9"/>
      <color theme="2" tint="-0.249977111117893"/>
      <name val="Arial"/>
      <family val="2"/>
    </font>
    <font>
      <sz val="9"/>
      <color theme="2" tint="-0.249977111117893"/>
      <name val="Arial"/>
      <family val="2"/>
    </font>
    <font>
      <vertAlign val="subscript"/>
      <sz val="9"/>
      <color theme="2" tint="-0.249977111117893"/>
      <name val="Arial"/>
      <family val="2"/>
    </font>
    <font>
      <sz val="11"/>
      <color theme="2" tint="-0.249977111117893"/>
      <name val="Calibri"/>
      <family val="2"/>
      <scheme val="minor"/>
    </font>
    <font>
      <sz val="11"/>
      <color theme="0"/>
      <name val="Calibri"/>
      <family val="2"/>
      <scheme val="minor"/>
    </font>
    <font>
      <b/>
      <sz val="16"/>
      <color theme="1"/>
      <name val="Calibri"/>
      <family val="2"/>
      <scheme val="minor"/>
    </font>
  </fonts>
  <fills count="17">
    <fill>
      <patternFill patternType="none"/>
    </fill>
    <fill>
      <patternFill patternType="gray125"/>
    </fill>
    <fill>
      <patternFill patternType="solid">
        <fgColor indexed="13"/>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CCFF"/>
        <bgColor indexed="64"/>
      </patternFill>
    </fill>
    <fill>
      <patternFill patternType="solid">
        <fgColor rgb="FFFFCCFF"/>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FFC000"/>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style="hair">
        <color indexed="64"/>
      </right>
      <top style="hair">
        <color indexed="64"/>
      </top>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hair">
        <color indexed="64"/>
      </left>
      <right/>
      <top/>
      <bottom/>
      <diagonal/>
    </border>
    <border>
      <left/>
      <right style="thin">
        <color indexed="64"/>
      </right>
      <top style="thin">
        <color indexed="64"/>
      </top>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style="thin">
        <color indexed="64"/>
      </left>
      <right/>
      <top style="thin">
        <color indexed="64"/>
      </top>
      <bottom/>
      <diagonal/>
    </border>
    <border>
      <left/>
      <right style="hair">
        <color indexed="64"/>
      </right>
      <top/>
      <bottom style="hair">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s>
  <cellStyleXfs count="10">
    <xf numFmtId="0" fontId="0" fillId="0" borderId="0"/>
    <xf numFmtId="0" fontId="8" fillId="0" borderId="0" applyNumberFormat="0" applyFill="0" applyBorder="0" applyAlignment="0" applyProtection="0"/>
    <xf numFmtId="0" fontId="2" fillId="0" borderId="0"/>
    <xf numFmtId="0" fontId="2" fillId="0" borderId="0"/>
    <xf numFmtId="9" fontId="17" fillId="0" borderId="0" applyFont="0" applyFill="0" applyBorder="0" applyAlignment="0" applyProtection="0"/>
    <xf numFmtId="0" fontId="21" fillId="0" borderId="0" applyBorder="0"/>
    <xf numFmtId="0" fontId="21" fillId="0" borderId="0"/>
    <xf numFmtId="0" fontId="20" fillId="0" borderId="0"/>
    <xf numFmtId="0" fontId="31" fillId="0" borderId="0"/>
    <xf numFmtId="43" fontId="17" fillId="0" borderId="0" applyFont="0" applyFill="0" applyBorder="0" applyAlignment="0" applyProtection="0"/>
  </cellStyleXfs>
  <cellXfs count="426">
    <xf numFmtId="0" fontId="0" fillId="0" borderId="0" xfId="0"/>
    <xf numFmtId="0" fontId="1" fillId="0" borderId="0" xfId="0" applyFont="1"/>
    <xf numFmtId="0" fontId="3" fillId="0" borderId="0" xfId="0" applyFont="1"/>
    <xf numFmtId="0" fontId="5" fillId="0" borderId="0" xfId="0" applyFont="1"/>
    <xf numFmtId="10" fontId="5" fillId="0" borderId="0" xfId="0" applyNumberFormat="1" applyFont="1"/>
    <xf numFmtId="2" fontId="5" fillId="0" borderId="0" xfId="0" applyNumberFormat="1" applyFont="1"/>
    <xf numFmtId="0" fontId="7" fillId="0" borderId="0" xfId="0" applyFont="1"/>
    <xf numFmtId="2" fontId="7" fillId="0" borderId="0" xfId="0" applyNumberFormat="1" applyFont="1"/>
    <xf numFmtId="0" fontId="5" fillId="0" borderId="23" xfId="0" applyFont="1" applyBorder="1"/>
    <xf numFmtId="2" fontId="5" fillId="0" borderId="23" xfId="0" applyNumberFormat="1" applyFont="1" applyBorder="1"/>
    <xf numFmtId="0" fontId="5" fillId="0" borderId="22" xfId="0" applyFont="1" applyBorder="1"/>
    <xf numFmtId="2" fontId="5" fillId="0" borderId="22" xfId="0" applyNumberFormat="1" applyFont="1" applyBorder="1"/>
    <xf numFmtId="0" fontId="5" fillId="0" borderId="0" xfId="0" applyFont="1" applyAlignment="1">
      <alignment vertical="center" wrapText="1"/>
    </xf>
    <xf numFmtId="164" fontId="5" fillId="0" borderId="0" xfId="0" applyNumberFormat="1" applyFont="1"/>
    <xf numFmtId="0" fontId="12" fillId="0" borderId="0" xfId="0" applyFont="1" applyAlignment="1">
      <alignment vertical="center" wrapText="1"/>
    </xf>
    <xf numFmtId="0" fontId="10" fillId="0" borderId="0" xfId="0" applyFont="1" applyAlignment="1">
      <alignment vertical="center" wrapText="1"/>
    </xf>
    <xf numFmtId="0" fontId="0" fillId="0" borderId="0" xfId="0"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0" fillId="0" borderId="22" xfId="0" applyBorder="1" applyAlignment="1">
      <alignment vertical="center" wrapText="1"/>
    </xf>
    <xf numFmtId="0" fontId="0" fillId="0" borderId="21" xfId="0" applyBorder="1" applyAlignment="1">
      <alignment vertical="center" wrapText="1"/>
    </xf>
    <xf numFmtId="0" fontId="0" fillId="0" borderId="0" xfId="0" applyAlignment="1">
      <alignment vertical="center"/>
    </xf>
    <xf numFmtId="164" fontId="12" fillId="0" borderId="0" xfId="0" applyNumberFormat="1" applyFont="1" applyAlignment="1">
      <alignment vertical="center" wrapText="1"/>
    </xf>
    <xf numFmtId="164" fontId="12" fillId="0" borderId="0" xfId="0" applyNumberFormat="1" applyFont="1"/>
    <xf numFmtId="0" fontId="12" fillId="0" borderId="0" xfId="0" applyFont="1"/>
    <xf numFmtId="164" fontId="12" fillId="0" borderId="0" xfId="0" applyNumberFormat="1" applyFont="1" applyAlignment="1">
      <alignment wrapText="1"/>
    </xf>
    <xf numFmtId="0" fontId="12" fillId="0" borderId="0" xfId="0" applyFont="1" applyAlignment="1">
      <alignment wrapText="1"/>
    </xf>
    <xf numFmtId="0" fontId="3" fillId="0" borderId="0" xfId="0" applyFont="1" applyAlignment="1">
      <alignment wrapText="1"/>
    </xf>
    <xf numFmtId="3" fontId="12" fillId="0" borderId="0" xfId="0" applyNumberFormat="1" applyFont="1"/>
    <xf numFmtId="2" fontId="1" fillId="0" borderId="0" xfId="0" applyNumberFormat="1" applyFont="1"/>
    <xf numFmtId="0" fontId="5" fillId="0" borderId="0" xfId="0" applyFont="1" applyAlignment="1">
      <alignment vertical="center"/>
    </xf>
    <xf numFmtId="0" fontId="4" fillId="0" borderId="0" xfId="0" applyFont="1" applyAlignment="1">
      <alignment vertical="center"/>
    </xf>
    <xf numFmtId="2" fontId="1" fillId="0" borderId="16" xfId="0" applyNumberFormat="1" applyFont="1" applyBorder="1" applyAlignment="1">
      <alignment horizontal="center" vertical="center"/>
    </xf>
    <xf numFmtId="3" fontId="1" fillId="0" borderId="16" xfId="0" applyNumberFormat="1" applyFont="1" applyBorder="1" applyAlignment="1">
      <alignment horizontal="center" vertical="center"/>
    </xf>
    <xf numFmtId="0" fontId="16" fillId="0" borderId="0" xfId="0" applyFont="1"/>
    <xf numFmtId="0" fontId="0" fillId="8" borderId="0" xfId="0" applyFill="1"/>
    <xf numFmtId="0" fontId="3" fillId="0" borderId="0" xfId="0" applyFont="1" applyAlignment="1">
      <alignment vertical="center" wrapText="1"/>
    </xf>
    <xf numFmtId="10" fontId="5" fillId="0" borderId="0" xfId="4" applyNumberFormat="1" applyFont="1"/>
    <xf numFmtId="1" fontId="1" fillId="0" borderId="16" xfId="0" applyNumberFormat="1" applyFont="1" applyBorder="1" applyAlignment="1">
      <alignment horizontal="center" vertical="center"/>
    </xf>
    <xf numFmtId="0" fontId="10" fillId="0" borderId="0" xfId="0" applyFont="1"/>
    <xf numFmtId="0" fontId="10" fillId="0" borderId="0" xfId="0" applyFont="1" applyAlignment="1">
      <alignment vertical="center"/>
    </xf>
    <xf numFmtId="0" fontId="14" fillId="0" borderId="0" xfId="0" applyFont="1"/>
    <xf numFmtId="0" fontId="22" fillId="0" borderId="0" xfId="0" applyFont="1" applyAlignment="1">
      <alignment vertical="center"/>
    </xf>
    <xf numFmtId="0" fontId="25" fillId="0" borderId="0" xfId="0" applyFont="1" applyAlignment="1">
      <alignment vertical="center"/>
    </xf>
    <xf numFmtId="2" fontId="28" fillId="0" borderId="0" xfId="0" applyNumberFormat="1" applyFont="1" applyAlignment="1">
      <alignment vertical="center"/>
    </xf>
    <xf numFmtId="2" fontId="32" fillId="0" borderId="0" xfId="0" applyNumberFormat="1" applyFont="1" applyAlignment="1">
      <alignment vertical="center"/>
    </xf>
    <xf numFmtId="164" fontId="34" fillId="0" borderId="0" xfId="0" applyNumberFormat="1" applyFont="1"/>
    <xf numFmtId="0" fontId="34" fillId="0" borderId="0" xfId="0" applyFont="1"/>
    <xf numFmtId="0" fontId="35" fillId="0" borderId="0" xfId="0" applyFont="1"/>
    <xf numFmtId="164" fontId="35" fillId="0" borderId="0" xfId="0" applyNumberFormat="1" applyFont="1"/>
    <xf numFmtId="14" fontId="14" fillId="0" borderId="0" xfId="0" quotePrefix="1" applyNumberFormat="1" applyFont="1"/>
    <xf numFmtId="0" fontId="14" fillId="0" borderId="0" xfId="0" applyFont="1" applyAlignment="1">
      <alignment vertical="center"/>
    </xf>
    <xf numFmtId="0" fontId="6" fillId="0" borderId="0" xfId="0" applyFont="1"/>
    <xf numFmtId="2" fontId="36" fillId="0" borderId="0" xfId="0" applyNumberFormat="1" applyFont="1" applyAlignment="1">
      <alignment vertical="center"/>
    </xf>
    <xf numFmtId="168" fontId="36" fillId="0" borderId="0" xfId="0" applyNumberFormat="1" applyFont="1" applyAlignment="1">
      <alignment vertical="center"/>
    </xf>
    <xf numFmtId="164" fontId="1" fillId="0" borderId="0" xfId="0" applyNumberFormat="1" applyFont="1"/>
    <xf numFmtId="164" fontId="3" fillId="0" borderId="0" xfId="0" applyNumberFormat="1" applyFont="1"/>
    <xf numFmtId="0" fontId="1" fillId="0" borderId="0" xfId="0" quotePrefix="1" applyFont="1"/>
    <xf numFmtId="1" fontId="12" fillId="0" borderId="0" xfId="0" applyNumberFormat="1" applyFont="1"/>
    <xf numFmtId="3" fontId="0" fillId="0" borderId="0" xfId="9" applyNumberFormat="1" applyFont="1"/>
    <xf numFmtId="3" fontId="0" fillId="0" borderId="0" xfId="9" applyNumberFormat="1" applyFont="1" applyBorder="1"/>
    <xf numFmtId="3" fontId="0" fillId="0" borderId="22" xfId="9" applyNumberFormat="1" applyFont="1" applyBorder="1"/>
    <xf numFmtId="3" fontId="6" fillId="0" borderId="0" xfId="0" applyNumberFormat="1" applyFont="1"/>
    <xf numFmtId="3" fontId="6" fillId="0" borderId="22" xfId="0" applyNumberFormat="1" applyFont="1" applyBorder="1"/>
    <xf numFmtId="1" fontId="14" fillId="0" borderId="0" xfId="0" applyNumberFormat="1" applyFont="1" applyAlignment="1">
      <alignment vertical="center"/>
    </xf>
    <xf numFmtId="0" fontId="10" fillId="0" borderId="40" xfId="0" applyFont="1" applyBorder="1" applyAlignment="1">
      <alignment vertical="center"/>
    </xf>
    <xf numFmtId="0" fontId="22" fillId="0" borderId="40" xfId="0" applyFont="1" applyBorder="1" applyAlignment="1">
      <alignment vertical="center"/>
    </xf>
    <xf numFmtId="0" fontId="0" fillId="0" borderId="40" xfId="0" applyBorder="1" applyAlignment="1">
      <alignment vertical="center"/>
    </xf>
    <xf numFmtId="2" fontId="32" fillId="0" borderId="40" xfId="0" applyNumberFormat="1" applyFont="1" applyBorder="1" applyAlignment="1">
      <alignment vertical="center"/>
    </xf>
    <xf numFmtId="2" fontId="14" fillId="0" borderId="0" xfId="0" applyNumberFormat="1" applyFont="1" applyAlignment="1">
      <alignment vertical="center"/>
    </xf>
    <xf numFmtId="2" fontId="28" fillId="0" borderId="40" xfId="0" applyNumberFormat="1" applyFont="1" applyBorder="1" applyAlignment="1">
      <alignment vertical="center"/>
    </xf>
    <xf numFmtId="0" fontId="25" fillId="0" borderId="40" xfId="0" applyFont="1" applyBorder="1" applyAlignment="1">
      <alignment vertical="center"/>
    </xf>
    <xf numFmtId="2" fontId="45" fillId="0" borderId="0" xfId="0" applyNumberFormat="1" applyFont="1" applyAlignment="1">
      <alignment vertical="center"/>
    </xf>
    <xf numFmtId="0" fontId="48" fillId="0" borderId="0" xfId="1" applyFont="1" applyBorder="1"/>
    <xf numFmtId="0" fontId="0" fillId="0" borderId="0" xfId="0" applyAlignment="1">
      <alignment horizontal="center"/>
    </xf>
    <xf numFmtId="49" fontId="0" fillId="0" borderId="0" xfId="0" applyNumberFormat="1"/>
    <xf numFmtId="49" fontId="0" fillId="0" borderId="22" xfId="0" applyNumberFormat="1" applyBorder="1"/>
    <xf numFmtId="3" fontId="0" fillId="0" borderId="0" xfId="0" applyNumberFormat="1"/>
    <xf numFmtId="3" fontId="0" fillId="0" borderId="22" xfId="0" applyNumberFormat="1" applyBorder="1"/>
    <xf numFmtId="0" fontId="0" fillId="0" borderId="22" xfId="0" applyBorder="1"/>
    <xf numFmtId="49" fontId="10" fillId="0" borderId="22" xfId="0" applyNumberFormat="1" applyFont="1" applyBorder="1" applyAlignment="1">
      <alignment vertical="center" wrapText="1"/>
    </xf>
    <xf numFmtId="0" fontId="10" fillId="0" borderId="22" xfId="0" applyFont="1" applyBorder="1" applyAlignment="1">
      <alignment vertical="center" wrapText="1"/>
    </xf>
    <xf numFmtId="0" fontId="0" fillId="0" borderId="21" xfId="0" applyBorder="1"/>
    <xf numFmtId="49" fontId="14" fillId="0" borderId="0" xfId="0" applyNumberFormat="1" applyFont="1"/>
    <xf numFmtId="3" fontId="14" fillId="0" borderId="21" xfId="0" applyNumberFormat="1" applyFont="1" applyBorder="1"/>
    <xf numFmtId="3" fontId="14" fillId="0" borderId="0" xfId="0" applyNumberFormat="1" applyFont="1"/>
    <xf numFmtId="49" fontId="14" fillId="0" borderId="22" xfId="0" applyNumberFormat="1" applyFont="1" applyBorder="1"/>
    <xf numFmtId="3" fontId="14" fillId="0" borderId="22" xfId="0" applyNumberFormat="1" applyFont="1" applyBorder="1"/>
    <xf numFmtId="0" fontId="50" fillId="0" borderId="21" xfId="0" applyFont="1" applyBorder="1"/>
    <xf numFmtId="49" fontId="50" fillId="0" borderId="0" xfId="0" applyNumberFormat="1" applyFont="1"/>
    <xf numFmtId="3" fontId="50" fillId="0" borderId="21" xfId="0" applyNumberFormat="1" applyFont="1" applyBorder="1"/>
    <xf numFmtId="0" fontId="50" fillId="0" borderId="0" xfId="0" applyFont="1"/>
    <xf numFmtId="3" fontId="50" fillId="0" borderId="0" xfId="0" applyNumberFormat="1" applyFont="1"/>
    <xf numFmtId="3" fontId="50" fillId="0" borderId="0" xfId="9" applyNumberFormat="1" applyFont="1"/>
    <xf numFmtId="3" fontId="50" fillId="0" borderId="0" xfId="9" applyNumberFormat="1" applyFont="1" applyBorder="1"/>
    <xf numFmtId="0" fontId="50" fillId="0" borderId="22" xfId="0" applyFont="1" applyBorder="1"/>
    <xf numFmtId="49" fontId="50" fillId="0" borderId="22" xfId="0" applyNumberFormat="1" applyFont="1" applyBorder="1"/>
    <xf numFmtId="3" fontId="50" fillId="0" borderId="22" xfId="0" applyNumberFormat="1" applyFont="1" applyBorder="1"/>
    <xf numFmtId="3" fontId="50" fillId="0" borderId="22" xfId="9" applyNumberFormat="1" applyFont="1" applyBorder="1"/>
    <xf numFmtId="0" fontId="3" fillId="0" borderId="0" xfId="0" applyFont="1" applyAlignment="1">
      <alignment vertical="center"/>
    </xf>
    <xf numFmtId="0" fontId="1" fillId="0" borderId="0" xfId="0" applyFont="1" applyAlignment="1">
      <alignment vertical="center"/>
    </xf>
    <xf numFmtId="164" fontId="1" fillId="0" borderId="0" xfId="0" applyNumberFormat="1" applyFont="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5" fillId="0" borderId="9" xfId="0" applyFont="1" applyBorder="1" applyAlignment="1">
      <alignment vertical="center"/>
    </xf>
    <xf numFmtId="0" fontId="7" fillId="0" borderId="0" xfId="0" applyFont="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3" fillId="0" borderId="31" xfId="0" applyFont="1" applyBorder="1" applyAlignment="1">
      <alignment vertical="center"/>
    </xf>
    <xf numFmtId="0" fontId="1" fillId="0" borderId="21" xfId="0" applyFont="1" applyBorder="1" applyAlignment="1">
      <alignment horizontal="center" vertical="center"/>
    </xf>
    <xf numFmtId="0" fontId="1" fillId="0" borderId="15" xfId="0" applyFont="1" applyBorder="1" applyAlignment="1">
      <alignment vertical="center"/>
    </xf>
    <xf numFmtId="0" fontId="1" fillId="0" borderId="16" xfId="0" applyFont="1" applyBorder="1" applyAlignment="1">
      <alignment horizontal="center" vertical="center"/>
    </xf>
    <xf numFmtId="0" fontId="1" fillId="0" borderId="18" xfId="0" applyFont="1" applyBorder="1" applyAlignment="1">
      <alignment vertical="center"/>
    </xf>
    <xf numFmtId="0" fontId="3" fillId="0" borderId="15" xfId="0" applyFont="1" applyBorder="1" applyAlignment="1">
      <alignment vertical="center"/>
    </xf>
    <xf numFmtId="171" fontId="1" fillId="0" borderId="16" xfId="9" applyNumberFormat="1" applyFont="1" applyBorder="1" applyAlignment="1" applyProtection="1">
      <alignment horizontal="center" vertical="center"/>
    </xf>
    <xf numFmtId="0" fontId="3" fillId="0" borderId="8" xfId="0" applyFont="1" applyBorder="1" applyAlignment="1">
      <alignment vertical="center"/>
    </xf>
    <xf numFmtId="1" fontId="1" fillId="0" borderId="9" xfId="0" applyNumberFormat="1" applyFont="1" applyBorder="1" applyAlignment="1">
      <alignment horizontal="center" vertical="center"/>
    </xf>
    <xf numFmtId="0" fontId="3" fillId="0" borderId="19" xfId="0" applyFont="1" applyBorder="1" applyAlignment="1">
      <alignment vertical="center"/>
    </xf>
    <xf numFmtId="0" fontId="1" fillId="0" borderId="20" xfId="0" applyFont="1" applyBorder="1" applyAlignment="1">
      <alignment horizontal="center" vertical="center"/>
    </xf>
    <xf numFmtId="0" fontId="5" fillId="0" borderId="0" xfId="0" applyFont="1" applyAlignment="1">
      <alignment horizontal="center" vertical="center"/>
    </xf>
    <xf numFmtId="0" fontId="5" fillId="0" borderId="21" xfId="0" applyFont="1" applyBorder="1" applyAlignment="1">
      <alignment horizontal="center" vertical="center"/>
    </xf>
    <xf numFmtId="0" fontId="1" fillId="0" borderId="27" xfId="0" applyFont="1" applyBorder="1" applyAlignment="1">
      <alignment vertical="center"/>
    </xf>
    <xf numFmtId="0" fontId="1" fillId="0" borderId="38" xfId="0" applyFont="1" applyBorder="1" applyAlignment="1">
      <alignment horizontal="center" vertical="center"/>
    </xf>
    <xf numFmtId="165" fontId="1" fillId="0" borderId="0" xfId="0" applyNumberFormat="1" applyFont="1" applyAlignment="1">
      <alignment vertical="center"/>
    </xf>
    <xf numFmtId="14" fontId="5" fillId="0" borderId="0" xfId="0" applyNumberFormat="1" applyFont="1" applyAlignment="1">
      <alignment horizontal="left" vertical="center"/>
    </xf>
    <xf numFmtId="2" fontId="1" fillId="9" borderId="10" xfId="0" applyNumberFormat="1" applyFont="1" applyFill="1" applyBorder="1" applyAlignment="1" applyProtection="1">
      <alignment horizontal="center" vertical="center"/>
      <protection locked="0"/>
    </xf>
    <xf numFmtId="2" fontId="1" fillId="9" borderId="14" xfId="0" applyNumberFormat="1" applyFont="1" applyFill="1" applyBorder="1" applyAlignment="1" applyProtection="1">
      <alignment horizontal="center" vertical="center"/>
      <protection locked="0"/>
    </xf>
    <xf numFmtId="1" fontId="1" fillId="9" borderId="10" xfId="0" applyNumberFormat="1" applyFont="1" applyFill="1" applyBorder="1" applyAlignment="1" applyProtection="1">
      <alignment horizontal="center" vertical="center"/>
      <protection locked="0"/>
    </xf>
    <xf numFmtId="1" fontId="1" fillId="9" borderId="13" xfId="0" applyNumberFormat="1" applyFont="1" applyFill="1" applyBorder="1" applyAlignment="1" applyProtection="1">
      <alignment horizontal="center" vertical="center"/>
      <protection locked="0"/>
    </xf>
    <xf numFmtId="3" fontId="1" fillId="9" borderId="14" xfId="0" applyNumberFormat="1" applyFont="1" applyFill="1" applyBorder="1" applyAlignment="1" applyProtection="1">
      <alignment horizontal="center" vertical="center"/>
      <protection locked="0"/>
    </xf>
    <xf numFmtId="3" fontId="1" fillId="9" borderId="10" xfId="0" applyNumberFormat="1" applyFont="1" applyFill="1" applyBorder="1" applyAlignment="1" applyProtection="1">
      <alignment horizontal="center" vertical="center"/>
      <protection locked="0"/>
    </xf>
    <xf numFmtId="3" fontId="1" fillId="9" borderId="13" xfId="0" applyNumberFormat="1" applyFont="1" applyFill="1" applyBorder="1" applyAlignment="1" applyProtection="1">
      <alignment horizontal="center" vertical="center"/>
      <protection locked="0"/>
    </xf>
    <xf numFmtId="0" fontId="5" fillId="0" borderId="0" xfId="0" applyFont="1" applyAlignment="1" applyProtection="1">
      <alignment vertical="center"/>
      <protection locked="0"/>
    </xf>
    <xf numFmtId="0" fontId="5" fillId="0" borderId="22" xfId="0" applyFont="1" applyBorder="1" applyAlignment="1" applyProtection="1">
      <alignment vertical="center"/>
      <protection locked="0"/>
    </xf>
    <xf numFmtId="0" fontId="5" fillId="0" borderId="2" xfId="0" applyFont="1" applyBorder="1" applyAlignment="1" applyProtection="1">
      <alignment vertical="center"/>
      <protection locked="0"/>
    </xf>
    <xf numFmtId="1" fontId="1" fillId="0" borderId="0" xfId="0" applyNumberFormat="1" applyFont="1" applyAlignment="1">
      <alignment vertical="center"/>
    </xf>
    <xf numFmtId="0" fontId="13" fillId="0" borderId="0" xfId="0" applyFont="1"/>
    <xf numFmtId="3" fontId="14" fillId="0" borderId="0" xfId="9" applyNumberFormat="1" applyFont="1"/>
    <xf numFmtId="3" fontId="14" fillId="0" borderId="0" xfId="9" applyNumberFormat="1" applyFont="1" applyFill="1" applyBorder="1"/>
    <xf numFmtId="3" fontId="14" fillId="0" borderId="22" xfId="9" applyNumberFormat="1" applyFont="1" applyBorder="1"/>
    <xf numFmtId="3" fontId="14" fillId="0" borderId="22" xfId="9" applyNumberFormat="1" applyFont="1" applyFill="1" applyBorder="1"/>
    <xf numFmtId="4" fontId="0" fillId="0" borderId="0" xfId="0" applyNumberFormat="1"/>
    <xf numFmtId="49" fontId="10" fillId="0" borderId="1" xfId="0" applyNumberFormat="1" applyFont="1" applyBorder="1"/>
    <xf numFmtId="3" fontId="10" fillId="14" borderId="2" xfId="0" applyNumberFormat="1" applyFont="1" applyFill="1" applyBorder="1"/>
    <xf numFmtId="49" fontId="10" fillId="0" borderId="2" xfId="0" applyNumberFormat="1" applyFont="1" applyBorder="1"/>
    <xf numFmtId="49" fontId="10" fillId="0" borderId="3" xfId="0" applyNumberFormat="1" applyFont="1" applyBorder="1"/>
    <xf numFmtId="14" fontId="0" fillId="0" borderId="0" xfId="0" applyNumberFormat="1"/>
    <xf numFmtId="0" fontId="0" fillId="0" borderId="46" xfId="0" applyBorder="1"/>
    <xf numFmtId="0" fontId="0" fillId="0" borderId="47" xfId="0" applyBorder="1"/>
    <xf numFmtId="0" fontId="0" fillId="0" borderId="48" xfId="0" applyBorder="1"/>
    <xf numFmtId="0" fontId="51" fillId="0" borderId="0" xfId="0" applyFont="1"/>
    <xf numFmtId="0" fontId="52" fillId="0" borderId="0" xfId="0" applyFont="1" applyAlignment="1">
      <alignment horizontal="right"/>
    </xf>
    <xf numFmtId="0" fontId="52" fillId="0" borderId="0" xfId="0" applyFont="1" applyAlignment="1">
      <alignment horizontal="center"/>
    </xf>
    <xf numFmtId="14" fontId="52" fillId="0" borderId="0" xfId="0" applyNumberFormat="1" applyFont="1" applyAlignment="1">
      <alignment horizontal="center"/>
    </xf>
    <xf numFmtId="14" fontId="0" fillId="0" borderId="41" xfId="0" applyNumberFormat="1" applyBorder="1" applyAlignment="1">
      <alignment horizontal="left" vertical="top" wrapText="1"/>
    </xf>
    <xf numFmtId="0" fontId="0" fillId="0" borderId="39" xfId="0" applyBorder="1" applyAlignment="1">
      <alignment horizontal="left" vertical="top" wrapText="1"/>
    </xf>
    <xf numFmtId="14" fontId="0" fillId="0" borderId="42" xfId="0" applyNumberFormat="1" applyBorder="1" applyAlignment="1">
      <alignment horizontal="left" vertical="top" wrapText="1"/>
    </xf>
    <xf numFmtId="0" fontId="0" fillId="0" borderId="44" xfId="0" applyBorder="1" applyAlignment="1">
      <alignment horizontal="left" vertical="top" wrapText="1"/>
    </xf>
    <xf numFmtId="0" fontId="53" fillId="0" borderId="0" xfId="0" applyFont="1" applyAlignment="1">
      <alignment vertical="center"/>
    </xf>
    <xf numFmtId="0" fontId="54" fillId="0" borderId="0" xfId="0" applyFont="1" applyAlignment="1">
      <alignment vertical="center"/>
    </xf>
    <xf numFmtId="14" fontId="0" fillId="0" borderId="49" xfId="0" applyNumberFormat="1" applyBorder="1" applyAlignment="1">
      <alignment horizontal="left" vertical="top" wrapText="1"/>
    </xf>
    <xf numFmtId="0" fontId="0" fillId="0" borderId="50" xfId="0" applyBorder="1" applyAlignment="1">
      <alignment horizontal="left" vertical="top" wrapText="1"/>
    </xf>
    <xf numFmtId="14" fontId="0" fillId="0" borderId="51" xfId="0" applyNumberFormat="1" applyBorder="1" applyAlignment="1">
      <alignment horizontal="left" vertical="top" wrapText="1"/>
    </xf>
    <xf numFmtId="14" fontId="0" fillId="0" borderId="43" xfId="0" applyNumberFormat="1" applyBorder="1" applyAlignment="1">
      <alignment horizontal="left" vertical="top" wrapText="1"/>
    </xf>
    <xf numFmtId="14" fontId="0" fillId="0" borderId="45" xfId="0" applyNumberFormat="1" applyBorder="1" applyAlignment="1">
      <alignment horizontal="left" vertical="top" wrapText="1"/>
    </xf>
    <xf numFmtId="164" fontId="53" fillId="0" borderId="0" xfId="0" applyNumberFormat="1" applyFont="1" applyAlignment="1">
      <alignment vertical="center"/>
    </xf>
    <xf numFmtId="0" fontId="56" fillId="0" borderId="0" xfId="0" applyFont="1" applyAlignment="1">
      <alignment vertical="center"/>
    </xf>
    <xf numFmtId="0" fontId="55" fillId="0" borderId="0" xfId="0" applyFont="1"/>
    <xf numFmtId="0" fontId="5" fillId="0" borderId="0" xfId="0" applyFont="1" applyAlignment="1">
      <alignment horizontal="right"/>
    </xf>
    <xf numFmtId="0" fontId="5" fillId="0" borderId="0" xfId="0" quotePrefix="1" applyFont="1"/>
    <xf numFmtId="0" fontId="5" fillId="0" borderId="0" xfId="0" applyFont="1" applyAlignment="1">
      <alignment wrapText="1"/>
    </xf>
    <xf numFmtId="0" fontId="8" fillId="0" borderId="0" xfId="1" applyAlignment="1" applyProtection="1">
      <alignment horizontal="center" vertical="center"/>
    </xf>
    <xf numFmtId="0" fontId="1" fillId="0" borderId="0" xfId="0" applyFont="1" applyAlignment="1">
      <alignment horizontal="right"/>
    </xf>
    <xf numFmtId="0" fontId="59" fillId="0" borderId="0" xfId="0" applyFont="1" applyAlignment="1">
      <alignment vertical="center"/>
    </xf>
    <xf numFmtId="0" fontId="2" fillId="0" borderId="0" xfId="0" applyFont="1"/>
    <xf numFmtId="0" fontId="2" fillId="0" borderId="0" xfId="9" applyNumberFormat="1" applyFont="1" applyBorder="1"/>
    <xf numFmtId="172" fontId="2" fillId="0" borderId="0" xfId="9" applyNumberFormat="1" applyFont="1" applyBorder="1"/>
    <xf numFmtId="0" fontId="3" fillId="0" borderId="1"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right" vertical="center"/>
    </xf>
    <xf numFmtId="0" fontId="1" fillId="0" borderId="2" xfId="0" applyFont="1" applyBorder="1" applyAlignment="1">
      <alignment horizontal="right" vertical="center"/>
    </xf>
    <xf numFmtId="0" fontId="3" fillId="0" borderId="54" xfId="0" applyFont="1" applyBorder="1" applyAlignment="1">
      <alignment vertical="center"/>
    </xf>
    <xf numFmtId="0" fontId="3" fillId="0" borderId="54" xfId="0" applyFont="1" applyBorder="1" applyAlignment="1">
      <alignment horizontal="right" vertical="center"/>
    </xf>
    <xf numFmtId="0" fontId="3" fillId="0" borderId="0" xfId="0" applyFont="1" applyAlignment="1">
      <alignment horizontal="right"/>
    </xf>
    <xf numFmtId="0" fontId="1" fillId="0" borderId="0" xfId="0" applyFont="1" applyAlignment="1">
      <alignment horizontal="left"/>
    </xf>
    <xf numFmtId="0" fontId="3" fillId="0" borderId="0" xfId="0" applyFont="1" applyAlignment="1">
      <alignment horizontal="right" vertical="center"/>
    </xf>
    <xf numFmtId="0" fontId="60" fillId="0" borderId="0" xfId="0" applyFont="1" applyAlignment="1">
      <alignment horizontal="right"/>
    </xf>
    <xf numFmtId="0" fontId="61" fillId="0" borderId="0" xfId="0" applyFont="1"/>
    <xf numFmtId="1" fontId="1" fillId="0" borderId="0" xfId="0" applyNumberFormat="1" applyFont="1"/>
    <xf numFmtId="0" fontId="5" fillId="16" borderId="0" xfId="0" applyFont="1" applyFill="1" applyAlignment="1">
      <alignment horizontal="right"/>
    </xf>
    <xf numFmtId="0" fontId="3" fillId="0" borderId="0" xfId="0" applyFont="1" applyAlignment="1">
      <alignment horizontal="left"/>
    </xf>
    <xf numFmtId="0" fontId="3" fillId="0" borderId="39" xfId="0" applyFont="1" applyBorder="1" applyAlignment="1">
      <alignment horizontal="right"/>
    </xf>
    <xf numFmtId="0" fontId="3" fillId="0" borderId="39" xfId="0" applyFont="1" applyBorder="1"/>
    <xf numFmtId="0" fontId="1" fillId="0" borderId="39" xfId="0" applyFont="1" applyBorder="1" applyAlignment="1">
      <alignment horizontal="left"/>
    </xf>
    <xf numFmtId="0" fontId="63" fillId="0" borderId="0" xfId="0" applyFont="1" applyAlignment="1">
      <alignment vertical="center" wrapText="1"/>
    </xf>
    <xf numFmtId="0" fontId="64" fillId="0" borderId="0" xfId="0" applyFont="1" applyAlignment="1">
      <alignment vertical="center" wrapText="1"/>
    </xf>
    <xf numFmtId="0" fontId="64" fillId="0" borderId="21" xfId="0" applyFont="1" applyBorder="1" applyAlignment="1">
      <alignment vertical="center" wrapText="1"/>
    </xf>
    <xf numFmtId="0" fontId="64" fillId="0" borderId="22" xfId="0" applyFont="1" applyBorder="1" applyAlignment="1">
      <alignment vertical="center" wrapText="1"/>
    </xf>
    <xf numFmtId="0" fontId="66" fillId="0" borderId="0" xfId="0" applyFont="1" applyAlignment="1">
      <alignment vertical="center" wrapText="1"/>
    </xf>
    <xf numFmtId="0" fontId="1" fillId="0" borderId="52" xfId="0" applyFont="1" applyBorder="1" applyAlignment="1">
      <alignment vertical="center"/>
    </xf>
    <xf numFmtId="0" fontId="5" fillId="0" borderId="15" xfId="0" applyFont="1" applyBorder="1" applyAlignment="1">
      <alignment vertical="center"/>
    </xf>
    <xf numFmtId="0" fontId="67" fillId="0" borderId="0" xfId="0" applyFont="1"/>
    <xf numFmtId="0" fontId="10" fillId="0" borderId="0" xfId="0" applyFont="1" applyAlignment="1">
      <alignment horizontal="right"/>
    </xf>
    <xf numFmtId="3" fontId="67" fillId="0" borderId="0" xfId="0" applyNumberFormat="1" applyFont="1"/>
    <xf numFmtId="0" fontId="68" fillId="0" borderId="0" xfId="0" applyFont="1"/>
    <xf numFmtId="0" fontId="0" fillId="7" borderId="0" xfId="0" applyFill="1"/>
    <xf numFmtId="0" fontId="0" fillId="0" borderId="40" xfId="0" applyBorder="1"/>
    <xf numFmtId="0" fontId="14" fillId="0" borderId="0" xfId="0" applyFont="1" applyAlignment="1">
      <alignment vertical="center" wrapText="1"/>
    </xf>
    <xf numFmtId="0" fontId="16" fillId="12" borderId="0" xfId="0" applyFont="1" applyFill="1" applyAlignment="1">
      <alignment vertical="center"/>
    </xf>
    <xf numFmtId="1" fontId="14" fillId="0" borderId="0" xfId="4" applyNumberFormat="1" applyFont="1" applyFill="1" applyBorder="1" applyAlignment="1" applyProtection="1">
      <alignment vertical="center"/>
    </xf>
    <xf numFmtId="1" fontId="14" fillId="0" borderId="0" xfId="0" applyNumberFormat="1" applyFont="1" applyAlignment="1">
      <alignment vertical="center" wrapText="1"/>
    </xf>
    <xf numFmtId="169" fontId="14" fillId="0" borderId="0" xfId="4" applyNumberFormat="1" applyFont="1" applyFill="1" applyBorder="1" applyAlignment="1" applyProtection="1">
      <alignment vertical="center"/>
    </xf>
    <xf numFmtId="2" fontId="14" fillId="0" borderId="0" xfId="0" applyNumberFormat="1" applyFont="1" applyAlignment="1">
      <alignment vertical="center" wrapText="1"/>
    </xf>
    <xf numFmtId="10" fontId="16" fillId="12" borderId="0" xfId="4" applyNumberFormat="1" applyFont="1" applyFill="1" applyBorder="1" applyAlignment="1" applyProtection="1">
      <alignment vertical="center"/>
    </xf>
    <xf numFmtId="10" fontId="14" fillId="0" borderId="0" xfId="4" applyNumberFormat="1" applyFont="1" applyFill="1" applyBorder="1" applyAlignment="1" applyProtection="1">
      <alignment vertical="center"/>
    </xf>
    <xf numFmtId="10" fontId="14" fillId="0" borderId="0" xfId="4" applyNumberFormat="1" applyFont="1" applyBorder="1" applyAlignment="1" applyProtection="1">
      <alignment vertical="center"/>
    </xf>
    <xf numFmtId="0" fontId="16" fillId="0" borderId="0" xfId="0" applyFont="1" applyAlignment="1">
      <alignment vertical="center"/>
    </xf>
    <xf numFmtId="10" fontId="14" fillId="0" borderId="0" xfId="0" applyNumberFormat="1" applyFont="1" applyAlignment="1">
      <alignment vertical="center"/>
    </xf>
    <xf numFmtId="2" fontId="16" fillId="0" borderId="0" xfId="0" applyNumberFormat="1" applyFont="1" applyAlignment="1">
      <alignment vertical="center"/>
    </xf>
    <xf numFmtId="2" fontId="14" fillId="0" borderId="0" xfId="4" applyNumberFormat="1" applyFont="1" applyFill="1" applyBorder="1" applyAlignment="1" applyProtection="1">
      <alignment vertical="center"/>
    </xf>
    <xf numFmtId="0" fontId="0" fillId="0" borderId="40" xfId="0" applyBorder="1" applyAlignment="1">
      <alignment vertical="center" wrapText="1"/>
    </xf>
    <xf numFmtId="0" fontId="22" fillId="0" borderId="0" xfId="0" applyFont="1" applyAlignment="1">
      <alignment vertical="center" wrapText="1"/>
    </xf>
    <xf numFmtId="168" fontId="24" fillId="0" borderId="0" xfId="0" applyNumberFormat="1" applyFont="1" applyAlignment="1">
      <alignment vertical="center"/>
    </xf>
    <xf numFmtId="2" fontId="22" fillId="0" borderId="0" xfId="4" applyNumberFormat="1" applyFont="1" applyFill="1" applyBorder="1" applyAlignment="1" applyProtection="1">
      <alignment vertical="center"/>
    </xf>
    <xf numFmtId="2" fontId="22" fillId="0" borderId="0" xfId="0" applyNumberFormat="1" applyFont="1" applyAlignment="1">
      <alignment vertical="center"/>
    </xf>
    <xf numFmtId="168" fontId="24" fillId="5" borderId="0" xfId="0" applyNumberFormat="1" applyFont="1" applyFill="1" applyAlignment="1">
      <alignment vertical="center" wrapText="1"/>
    </xf>
    <xf numFmtId="168" fontId="22" fillId="0" borderId="0" xfId="0" applyNumberFormat="1" applyFont="1" applyAlignment="1">
      <alignment vertical="center" wrapText="1"/>
    </xf>
    <xf numFmtId="0" fontId="22" fillId="0" borderId="40" xfId="0" applyFont="1" applyBorder="1" applyAlignment="1">
      <alignment vertical="center" wrapText="1"/>
    </xf>
    <xf numFmtId="168" fontId="24" fillId="5" borderId="40" xfId="0" applyNumberFormat="1" applyFont="1" applyFill="1" applyBorder="1" applyAlignment="1">
      <alignment vertical="center" wrapText="1"/>
    </xf>
    <xf numFmtId="2" fontId="22" fillId="0" borderId="40" xfId="0" applyNumberFormat="1" applyFont="1" applyBorder="1" applyAlignment="1">
      <alignment vertical="center"/>
    </xf>
    <xf numFmtId="2" fontId="32" fillId="0" borderId="0" xfId="0" applyNumberFormat="1" applyFont="1" applyAlignment="1">
      <alignment vertical="center" wrapText="1"/>
    </xf>
    <xf numFmtId="2" fontId="32" fillId="0" borderId="0" xfId="4" applyNumberFormat="1" applyFont="1" applyFill="1" applyBorder="1" applyAlignment="1" applyProtection="1">
      <alignment vertical="center"/>
    </xf>
    <xf numFmtId="164" fontId="32" fillId="0" borderId="0" xfId="4" applyNumberFormat="1" applyFont="1" applyFill="1" applyBorder="1" applyAlignment="1" applyProtection="1">
      <alignment vertical="center"/>
    </xf>
    <xf numFmtId="164" fontId="32" fillId="0" borderId="0" xfId="0" applyNumberFormat="1" applyFont="1" applyAlignment="1">
      <alignment vertical="center"/>
    </xf>
    <xf numFmtId="170" fontId="32" fillId="0" borderId="0" xfId="0" applyNumberFormat="1" applyFont="1" applyAlignment="1">
      <alignment vertical="center"/>
    </xf>
    <xf numFmtId="168" fontId="32" fillId="0" borderId="0" xfId="0" applyNumberFormat="1" applyFont="1" applyAlignment="1">
      <alignment vertical="center"/>
    </xf>
    <xf numFmtId="168" fontId="42" fillId="0" borderId="0" xfId="0" applyNumberFormat="1" applyFont="1" applyAlignment="1">
      <alignment vertical="center"/>
    </xf>
    <xf numFmtId="2" fontId="32" fillId="0" borderId="40" xfId="0" applyNumberFormat="1" applyFont="1" applyBorder="1" applyAlignment="1">
      <alignment vertical="center" wrapText="1"/>
    </xf>
    <xf numFmtId="2" fontId="42" fillId="10" borderId="40" xfId="0" applyNumberFormat="1" applyFont="1" applyFill="1" applyBorder="1" applyAlignment="1">
      <alignment vertical="center" wrapText="1"/>
    </xf>
    <xf numFmtId="170" fontId="32" fillId="0" borderId="40" xfId="0" applyNumberFormat="1" applyFont="1" applyBorder="1" applyAlignment="1">
      <alignment vertical="center"/>
    </xf>
    <xf numFmtId="2" fontId="32" fillId="0" borderId="40" xfId="4" applyNumberFormat="1" applyFont="1" applyFill="1" applyBorder="1" applyAlignment="1" applyProtection="1">
      <alignment vertical="center"/>
    </xf>
    <xf numFmtId="168" fontId="32" fillId="0" borderId="40" xfId="0" applyNumberFormat="1" applyFont="1" applyBorder="1" applyAlignment="1">
      <alignment vertical="center"/>
    </xf>
    <xf numFmtId="2" fontId="45" fillId="0" borderId="0" xfId="0" applyNumberFormat="1" applyFont="1" applyAlignment="1">
      <alignment vertical="center" wrapText="1"/>
    </xf>
    <xf numFmtId="2" fontId="46" fillId="0" borderId="0" xfId="0" applyNumberFormat="1" applyFont="1" applyAlignment="1">
      <alignment vertical="center" wrapText="1"/>
    </xf>
    <xf numFmtId="170" fontId="46" fillId="0" borderId="0" xfId="0" applyNumberFormat="1" applyFont="1" applyAlignment="1">
      <alignment vertical="center"/>
    </xf>
    <xf numFmtId="2" fontId="45" fillId="0" borderId="0" xfId="4" applyNumberFormat="1" applyFont="1" applyFill="1" applyBorder="1" applyAlignment="1" applyProtection="1">
      <alignment vertical="center"/>
    </xf>
    <xf numFmtId="168" fontId="45" fillId="0" borderId="0" xfId="0" applyNumberFormat="1" applyFont="1" applyAlignment="1">
      <alignment vertical="center"/>
    </xf>
    <xf numFmtId="0" fontId="45" fillId="0" borderId="0" xfId="0" applyFont="1" applyAlignment="1">
      <alignment vertical="center"/>
    </xf>
    <xf numFmtId="168" fontId="46" fillId="0" borderId="0" xfId="0" applyNumberFormat="1" applyFont="1" applyAlignment="1">
      <alignment vertical="center"/>
    </xf>
    <xf numFmtId="164" fontId="45" fillId="0" borderId="0" xfId="0" applyNumberFormat="1" applyFont="1" applyAlignment="1">
      <alignment vertical="center"/>
    </xf>
    <xf numFmtId="2" fontId="45" fillId="0" borderId="40" xfId="0" applyNumberFormat="1" applyFont="1" applyBorder="1" applyAlignment="1">
      <alignment vertical="center" wrapText="1"/>
    </xf>
    <xf numFmtId="2" fontId="46" fillId="13" borderId="40" xfId="0" applyNumberFormat="1" applyFont="1" applyFill="1" applyBorder="1" applyAlignment="1">
      <alignment vertical="center" wrapText="1"/>
    </xf>
    <xf numFmtId="2" fontId="28" fillId="0" borderId="0" xfId="0" applyNumberFormat="1" applyFont="1" applyAlignment="1">
      <alignment vertical="center" wrapText="1"/>
    </xf>
    <xf numFmtId="2" fontId="28" fillId="0" borderId="0" xfId="4" applyNumberFormat="1" applyFont="1" applyFill="1" applyBorder="1" applyAlignment="1" applyProtection="1">
      <alignment vertical="center"/>
    </xf>
    <xf numFmtId="168" fontId="43" fillId="0" borderId="0" xfId="0" applyNumberFormat="1" applyFont="1" applyAlignment="1">
      <alignment vertical="center"/>
    </xf>
    <xf numFmtId="168" fontId="43" fillId="0" borderId="0" xfId="0" applyNumberFormat="1" applyFont="1" applyAlignment="1">
      <alignment vertical="center" wrapText="1"/>
    </xf>
    <xf numFmtId="0" fontId="43" fillId="0" borderId="0" xfId="0" applyFont="1" applyAlignment="1">
      <alignment vertical="center"/>
    </xf>
    <xf numFmtId="2" fontId="28" fillId="0" borderId="40" xfId="0" applyNumberFormat="1" applyFont="1" applyBorder="1" applyAlignment="1">
      <alignment vertical="center" wrapText="1"/>
    </xf>
    <xf numFmtId="168" fontId="43" fillId="3" borderId="40" xfId="0" applyNumberFormat="1" applyFont="1" applyFill="1" applyBorder="1" applyAlignment="1">
      <alignment vertical="center" wrapText="1"/>
    </xf>
    <xf numFmtId="0" fontId="43" fillId="0" borderId="40" xfId="0" applyFont="1" applyBorder="1" applyAlignment="1">
      <alignment vertical="center"/>
    </xf>
    <xf numFmtId="168" fontId="28" fillId="0" borderId="40" xfId="4" applyNumberFormat="1" applyFont="1" applyFill="1" applyBorder="1" applyAlignment="1" applyProtection="1">
      <alignment vertical="center"/>
    </xf>
    <xf numFmtId="2" fontId="25" fillId="0" borderId="0" xfId="4" applyNumberFormat="1" applyFont="1" applyFill="1" applyBorder="1" applyAlignment="1" applyProtection="1">
      <alignment vertical="center"/>
    </xf>
    <xf numFmtId="168" fontId="28" fillId="0" borderId="0" xfId="0" applyNumberFormat="1" applyFont="1" applyAlignment="1">
      <alignment vertical="center"/>
    </xf>
    <xf numFmtId="0" fontId="25" fillId="0" borderId="0" xfId="0" applyFont="1" applyAlignment="1">
      <alignment vertical="center" wrapText="1"/>
    </xf>
    <xf numFmtId="168" fontId="25" fillId="0" borderId="0" xfId="4" applyNumberFormat="1" applyFont="1" applyFill="1" applyBorder="1" applyAlignment="1" applyProtection="1">
      <alignment vertical="center"/>
    </xf>
    <xf numFmtId="168" fontId="25" fillId="0" borderId="0" xfId="2" applyNumberFormat="1" applyFont="1" applyAlignment="1">
      <alignment vertical="center"/>
    </xf>
    <xf numFmtId="168" fontId="25" fillId="0" borderId="0" xfId="7" applyNumberFormat="1" applyFont="1" applyAlignment="1">
      <alignment vertical="center"/>
    </xf>
    <xf numFmtId="168" fontId="25" fillId="0" borderId="0" xfId="0" applyNumberFormat="1" applyFont="1" applyAlignment="1">
      <alignment vertical="center" wrapText="1"/>
    </xf>
    <xf numFmtId="168" fontId="44" fillId="0" borderId="0" xfId="0" applyNumberFormat="1" applyFont="1" applyAlignment="1">
      <alignment vertical="center"/>
    </xf>
    <xf numFmtId="168" fontId="44" fillId="0" borderId="0" xfId="0" applyNumberFormat="1" applyFont="1" applyAlignment="1">
      <alignment vertical="center" wrapText="1"/>
    </xf>
    <xf numFmtId="168" fontId="25" fillId="0" borderId="0" xfId="0" applyNumberFormat="1" applyFont="1" applyAlignment="1">
      <alignment vertical="center"/>
    </xf>
    <xf numFmtId="0" fontId="25" fillId="0" borderId="40" xfId="0" applyFont="1" applyBorder="1" applyAlignment="1">
      <alignment vertical="center" wrapText="1"/>
    </xf>
    <xf numFmtId="168" fontId="44" fillId="6" borderId="40" xfId="0" applyNumberFormat="1" applyFont="1" applyFill="1" applyBorder="1" applyAlignment="1">
      <alignment vertical="center" wrapText="1"/>
    </xf>
    <xf numFmtId="168" fontId="25" fillId="0" borderId="40" xfId="0" applyNumberFormat="1" applyFont="1" applyBorder="1" applyAlignment="1">
      <alignment vertical="center"/>
    </xf>
    <xf numFmtId="2" fontId="25" fillId="0" borderId="40" xfId="4" applyNumberFormat="1" applyFont="1" applyFill="1" applyBorder="1" applyAlignment="1" applyProtection="1">
      <alignment vertical="center"/>
    </xf>
    <xf numFmtId="168" fontId="25" fillId="0" borderId="40" xfId="2" applyNumberFormat="1" applyFont="1" applyBorder="1" applyAlignment="1">
      <alignment vertical="center"/>
    </xf>
    <xf numFmtId="168" fontId="25" fillId="0" borderId="40" xfId="7" applyNumberFormat="1" applyFont="1" applyBorder="1" applyAlignment="1">
      <alignment vertical="center"/>
    </xf>
    <xf numFmtId="2" fontId="36" fillId="0" borderId="0" xfId="0" applyNumberFormat="1" applyFont="1" applyAlignment="1">
      <alignment vertical="center" wrapText="1"/>
    </xf>
    <xf numFmtId="2" fontId="36" fillId="0" borderId="0" xfId="4" applyNumberFormat="1" applyFont="1" applyFill="1" applyBorder="1" applyAlignment="1" applyProtection="1">
      <alignment vertical="center"/>
    </xf>
    <xf numFmtId="168" fontId="47" fillId="0" borderId="0" xfId="0" applyNumberFormat="1" applyFont="1" applyAlignment="1">
      <alignment vertical="center"/>
    </xf>
    <xf numFmtId="2" fontId="47" fillId="0" borderId="0" xfId="0" applyNumberFormat="1" applyFont="1" applyAlignment="1">
      <alignment vertical="center" wrapText="1"/>
    </xf>
    <xf numFmtId="164" fontId="36" fillId="0" borderId="0" xfId="0" applyNumberFormat="1" applyFont="1" applyAlignment="1">
      <alignment vertical="center"/>
    </xf>
    <xf numFmtId="2" fontId="6" fillId="0" borderId="0" xfId="0" applyNumberFormat="1" applyFont="1" applyAlignment="1">
      <alignment vertical="center"/>
    </xf>
    <xf numFmtId="0" fontId="36" fillId="0" borderId="0" xfId="0" applyFont="1" applyAlignment="1">
      <alignment vertical="center"/>
    </xf>
    <xf numFmtId="2" fontId="47" fillId="11" borderId="0" xfId="0" applyNumberFormat="1" applyFont="1" applyFill="1" applyAlignment="1">
      <alignment vertical="center" wrapText="1"/>
    </xf>
    <xf numFmtId="168" fontId="36" fillId="0" borderId="0" xfId="0" applyNumberFormat="1" applyFont="1" applyAlignment="1">
      <alignment vertical="center" wrapText="1"/>
    </xf>
    <xf numFmtId="168" fontId="47" fillId="0" borderId="0" xfId="0" applyNumberFormat="1" applyFont="1" applyAlignment="1">
      <alignment vertical="center" wrapText="1"/>
    </xf>
    <xf numFmtId="168" fontId="36" fillId="0" borderId="0" xfId="4" applyNumberFormat="1" applyFont="1" applyFill="1" applyBorder="1" applyAlignment="1" applyProtection="1">
      <alignment vertical="center"/>
    </xf>
    <xf numFmtId="168" fontId="0" fillId="0" borderId="0" xfId="0" applyNumberFormat="1" applyAlignment="1">
      <alignment vertical="center"/>
    </xf>
    <xf numFmtId="0" fontId="13" fillId="0" borderId="0" xfId="0" applyFont="1" applyAlignment="1">
      <alignment horizontal="right" vertical="center"/>
    </xf>
    <xf numFmtId="0" fontId="8" fillId="0" borderId="0" xfId="1" applyBorder="1" applyAlignment="1" applyProtection="1">
      <alignment vertical="center"/>
    </xf>
    <xf numFmtId="0" fontId="14" fillId="0" borderId="0" xfId="1" applyFont="1" applyBorder="1" applyAlignment="1" applyProtection="1">
      <alignment vertical="center"/>
    </xf>
    <xf numFmtId="0" fontId="0" fillId="0" borderId="0" xfId="0" quotePrefix="1"/>
    <xf numFmtId="0" fontId="13" fillId="0" borderId="0" xfId="0" applyFont="1" applyAlignment="1">
      <alignment horizontal="right" vertical="top"/>
    </xf>
    <xf numFmtId="0" fontId="18" fillId="0" borderId="0" xfId="0" applyFont="1" applyAlignment="1">
      <alignment vertical="center" wrapText="1"/>
    </xf>
    <xf numFmtId="0" fontId="19" fillId="0" borderId="0" xfId="1" applyFont="1" applyFill="1" applyBorder="1" applyAlignment="1" applyProtection="1">
      <alignment vertical="center" wrapText="1"/>
    </xf>
    <xf numFmtId="0" fontId="13" fillId="0" borderId="0" xfId="0" applyFont="1" applyAlignment="1">
      <alignment vertical="center"/>
    </xf>
    <xf numFmtId="0" fontId="22" fillId="0" borderId="0" xfId="0" applyFont="1"/>
    <xf numFmtId="10" fontId="22" fillId="0" borderId="0" xfId="4" applyNumberFormat="1" applyFont="1" applyProtection="1"/>
    <xf numFmtId="0" fontId="16" fillId="0" borderId="39" xfId="0" applyFont="1" applyBorder="1" applyAlignment="1">
      <alignment wrapText="1"/>
    </xf>
    <xf numFmtId="10" fontId="16" fillId="0" borderId="39" xfId="0" applyNumberFormat="1" applyFont="1" applyBorder="1"/>
    <xf numFmtId="0" fontId="16" fillId="0" borderId="39" xfId="0" applyFont="1" applyBorder="1" applyAlignment="1">
      <alignment vertical="center"/>
    </xf>
    <xf numFmtId="10" fontId="14" fillId="0" borderId="39" xfId="4" applyNumberFormat="1" applyFont="1" applyFill="1" applyBorder="1" applyAlignment="1" applyProtection="1">
      <alignment vertical="center"/>
    </xf>
    <xf numFmtId="14" fontId="14" fillId="0" borderId="39" xfId="4" applyNumberFormat="1" applyFont="1" applyFill="1" applyBorder="1" applyAlignment="1" applyProtection="1">
      <alignment vertical="center"/>
    </xf>
    <xf numFmtId="14" fontId="14" fillId="0" borderId="39" xfId="0" applyNumberFormat="1" applyFont="1" applyBorder="1" applyAlignment="1">
      <alignment vertical="center"/>
    </xf>
    <xf numFmtId="10" fontId="14" fillId="0" borderId="39" xfId="4" applyNumberFormat="1" applyFont="1" applyBorder="1" applyProtection="1"/>
    <xf numFmtId="14" fontId="14" fillId="0" borderId="39" xfId="0" applyNumberFormat="1" applyFont="1" applyBorder="1"/>
    <xf numFmtId="10" fontId="14" fillId="0" borderId="39" xfId="0" applyNumberFormat="1" applyFont="1" applyBorder="1"/>
    <xf numFmtId="169" fontId="32" fillId="0" borderId="0" xfId="0" applyNumberFormat="1" applyFont="1" applyAlignment="1">
      <alignment vertical="center"/>
    </xf>
    <xf numFmtId="1" fontId="1" fillId="9" borderId="12" xfId="0" applyNumberFormat="1" applyFont="1" applyFill="1" applyBorder="1" applyAlignment="1" applyProtection="1">
      <alignment horizontal="center" vertical="center"/>
      <protection locked="0"/>
    </xf>
    <xf numFmtId="1" fontId="1" fillId="9" borderId="10" xfId="0" applyNumberFormat="1" applyFont="1" applyFill="1" applyBorder="1" applyAlignment="1" applyProtection="1">
      <alignment horizontal="center" vertical="center"/>
      <protection locked="0"/>
    </xf>
    <xf numFmtId="3" fontId="1" fillId="0" borderId="12" xfId="0" applyNumberFormat="1" applyFont="1" applyBorder="1" applyAlignment="1">
      <alignment horizontal="center" vertical="center"/>
    </xf>
    <xf numFmtId="3" fontId="1" fillId="0" borderId="10" xfId="0" applyNumberFormat="1" applyFont="1" applyBorder="1" applyAlignment="1">
      <alignment horizontal="center" vertical="center"/>
    </xf>
    <xf numFmtId="3" fontId="1" fillId="0" borderId="14" xfId="0" applyNumberFormat="1" applyFont="1" applyBorder="1" applyAlignment="1">
      <alignment horizontal="center" vertical="center"/>
    </xf>
    <xf numFmtId="167" fontId="1" fillId="0" borderId="12" xfId="0" applyNumberFormat="1" applyFont="1" applyBorder="1" applyAlignment="1">
      <alignment horizontal="center" vertical="center"/>
    </xf>
    <xf numFmtId="167" fontId="1" fillId="0" borderId="10" xfId="0" applyNumberFormat="1" applyFont="1" applyBorder="1" applyAlignment="1">
      <alignment horizontal="center" vertical="center"/>
    </xf>
    <xf numFmtId="0" fontId="62" fillId="0" borderId="0" xfId="1" applyFont="1" applyAlignment="1" applyProtection="1">
      <alignment horizontal="center" vertical="center"/>
    </xf>
    <xf numFmtId="0" fontId="1" fillId="4" borderId="26" xfId="0" applyFont="1" applyFill="1" applyBorder="1" applyAlignment="1" applyProtection="1">
      <alignment horizontal="left" vertical="center"/>
      <protection locked="0"/>
    </xf>
    <xf numFmtId="0" fontId="1" fillId="4" borderId="53" xfId="0" applyFont="1" applyFill="1" applyBorder="1" applyAlignment="1" applyProtection="1">
      <alignment horizontal="left" vertical="center"/>
      <protection locked="0"/>
    </xf>
    <xf numFmtId="0" fontId="1" fillId="4" borderId="4" xfId="0" applyFont="1" applyFill="1" applyBorder="1" applyAlignment="1" applyProtection="1">
      <alignment horizontal="left" vertical="center"/>
      <protection locked="0"/>
    </xf>
    <xf numFmtId="0" fontId="5" fillId="4" borderId="12" xfId="0" applyFont="1" applyFill="1" applyBorder="1" applyAlignment="1" applyProtection="1">
      <alignment horizontal="left" vertical="center"/>
      <protection locked="0"/>
    </xf>
    <xf numFmtId="0" fontId="5" fillId="4" borderId="9" xfId="0" applyFont="1" applyFill="1" applyBorder="1" applyAlignment="1" applyProtection="1">
      <alignment horizontal="left" vertical="center"/>
      <protection locked="0"/>
    </xf>
    <xf numFmtId="0" fontId="5" fillId="4" borderId="14" xfId="0" applyFont="1" applyFill="1" applyBorder="1" applyAlignment="1" applyProtection="1">
      <alignment horizontal="left" vertical="center"/>
      <protection locked="0"/>
    </xf>
    <xf numFmtId="0" fontId="5" fillId="0" borderId="38" xfId="0" applyFont="1" applyBorder="1" applyAlignment="1">
      <alignment horizontal="left" vertical="center"/>
    </xf>
    <xf numFmtId="0" fontId="5" fillId="0" borderId="20" xfId="0" applyFont="1" applyBorder="1" applyAlignment="1">
      <alignment horizontal="left" vertical="center"/>
    </xf>
    <xf numFmtId="3" fontId="5" fillId="0" borderId="11" xfId="0" applyNumberFormat="1" applyFont="1" applyBorder="1" applyAlignment="1">
      <alignment horizontal="left" vertical="center"/>
    </xf>
    <xf numFmtId="3" fontId="5" fillId="0" borderId="30" xfId="0" applyNumberFormat="1" applyFont="1" applyBorder="1" applyAlignment="1">
      <alignment horizontal="left" vertical="center"/>
    </xf>
    <xf numFmtId="3" fontId="5" fillId="0" borderId="32" xfId="0" applyNumberFormat="1" applyFont="1" applyBorder="1" applyAlignment="1">
      <alignment horizontal="left" vertical="center"/>
    </xf>
    <xf numFmtId="0" fontId="5" fillId="0" borderId="28" xfId="0" applyFont="1" applyBorder="1" applyAlignment="1">
      <alignment horizontal="left" vertical="center"/>
    </xf>
    <xf numFmtId="0" fontId="5" fillId="0" borderId="6" xfId="0" applyFont="1" applyBorder="1" applyAlignment="1">
      <alignment horizontal="left" vertical="center"/>
    </xf>
    <xf numFmtId="0" fontId="5" fillId="0" borderId="29" xfId="0" applyFont="1" applyBorder="1" applyAlignment="1">
      <alignment horizontal="left" vertical="center"/>
    </xf>
    <xf numFmtId="0" fontId="5" fillId="0" borderId="11" xfId="0" applyFont="1" applyBorder="1" applyAlignment="1">
      <alignment horizontal="left" vertical="center"/>
    </xf>
    <xf numFmtId="0" fontId="5" fillId="0" borderId="30" xfId="0" applyFont="1" applyBorder="1" applyAlignment="1">
      <alignment horizontal="left" vertical="center"/>
    </xf>
    <xf numFmtId="0" fontId="5" fillId="0" borderId="34" xfId="0" applyFont="1" applyBorder="1" applyAlignment="1">
      <alignment horizontal="left" vertical="center"/>
    </xf>
    <xf numFmtId="0" fontId="5" fillId="0" borderId="7" xfId="0" applyFont="1" applyBorder="1" applyAlignment="1">
      <alignment horizontal="left" vertical="center"/>
    </xf>
    <xf numFmtId="0" fontId="8" fillId="0" borderId="0" xfId="1" applyAlignment="1" applyProtection="1">
      <alignment horizontal="center" vertical="center"/>
    </xf>
    <xf numFmtId="0" fontId="1" fillId="4" borderId="31" xfId="0" applyFont="1" applyFill="1" applyBorder="1" applyAlignment="1" applyProtection="1">
      <alignment horizontal="center" vertical="center"/>
      <protection locked="0"/>
    </xf>
    <xf numFmtId="0" fontId="1" fillId="4" borderId="25" xfId="0" applyFont="1" applyFill="1" applyBorder="1" applyAlignment="1" applyProtection="1">
      <alignment horizontal="center" vertical="center"/>
      <protection locked="0"/>
    </xf>
    <xf numFmtId="0" fontId="3" fillId="0" borderId="31" xfId="0" applyFont="1" applyBorder="1" applyAlignment="1">
      <alignment horizontal="left" vertical="center"/>
    </xf>
    <xf numFmtId="0" fontId="3" fillId="0" borderId="21" xfId="0" applyFont="1" applyBorder="1" applyAlignment="1">
      <alignment horizontal="left" vertical="center"/>
    </xf>
    <xf numFmtId="0" fontId="3" fillId="0" borderId="25" xfId="0" applyFont="1" applyBorder="1" applyAlignment="1">
      <alignment horizontal="left" vertical="center"/>
    </xf>
    <xf numFmtId="2" fontId="1" fillId="0" borderId="12" xfId="0" applyNumberFormat="1" applyFont="1" applyBorder="1" applyAlignment="1">
      <alignment horizontal="center" vertical="center"/>
    </xf>
    <xf numFmtId="2" fontId="1" fillId="0" borderId="14" xfId="0" applyNumberFormat="1"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3" fontId="1" fillId="0" borderId="28" xfId="0" applyNumberFormat="1" applyFont="1" applyBorder="1" applyAlignment="1">
      <alignment horizontal="center" vertical="center"/>
    </xf>
    <xf numFmtId="3" fontId="1" fillId="0" borderId="29" xfId="0" applyNumberFormat="1" applyFont="1" applyBorder="1" applyAlignment="1">
      <alignment horizontal="center" vertical="center"/>
    </xf>
    <xf numFmtId="2" fontId="1" fillId="0" borderId="11" xfId="0" applyNumberFormat="1" applyFont="1" applyBorder="1" applyAlignment="1">
      <alignment horizontal="center" vertical="center"/>
    </xf>
    <xf numFmtId="2" fontId="1" fillId="0" borderId="32" xfId="0" applyNumberFormat="1" applyFont="1" applyBorder="1" applyAlignment="1">
      <alignment horizontal="center" vertical="center"/>
    </xf>
    <xf numFmtId="0" fontId="5" fillId="0" borderId="18" xfId="0" applyFont="1" applyBorder="1" applyAlignment="1">
      <alignment horizontal="left" vertical="center" wrapText="1"/>
    </xf>
    <xf numFmtId="0" fontId="5" fillId="0" borderId="56" xfId="0" applyFont="1" applyBorder="1" applyAlignment="1">
      <alignment horizontal="left" vertical="center" wrapText="1"/>
    </xf>
    <xf numFmtId="0" fontId="1" fillId="2" borderId="31"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2" fontId="1" fillId="0" borderId="10" xfId="0" applyNumberFormat="1" applyFont="1"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5" xfId="0" applyFont="1" applyBorder="1" applyAlignment="1">
      <alignment horizontal="left" vertical="center"/>
    </xf>
    <xf numFmtId="1" fontId="1" fillId="4" borderId="12" xfId="0" applyNumberFormat="1" applyFont="1" applyFill="1" applyBorder="1" applyAlignment="1" applyProtection="1">
      <alignment horizontal="left" vertical="center"/>
      <protection locked="0"/>
    </xf>
    <xf numFmtId="1" fontId="1" fillId="4" borderId="10" xfId="0" applyNumberFormat="1" applyFont="1" applyFill="1" applyBorder="1" applyAlignment="1" applyProtection="1">
      <alignment horizontal="left" vertical="center"/>
      <protection locked="0"/>
    </xf>
    <xf numFmtId="1" fontId="1" fillId="4" borderId="14" xfId="0" applyNumberFormat="1" applyFont="1" applyFill="1" applyBorder="1" applyAlignment="1" applyProtection="1">
      <alignment horizontal="left" vertical="center"/>
      <protection locked="0"/>
    </xf>
    <xf numFmtId="10" fontId="3" fillId="0" borderId="28" xfId="0" applyNumberFormat="1" applyFont="1" applyBorder="1" applyAlignment="1">
      <alignment horizontal="center" vertical="center"/>
    </xf>
    <xf numFmtId="10" fontId="3" fillId="0" borderId="7" xfId="0" applyNumberFormat="1" applyFont="1" applyBorder="1" applyAlignment="1">
      <alignment horizontal="center" vertical="center"/>
    </xf>
    <xf numFmtId="3" fontId="1" fillId="0" borderId="7" xfId="0" applyNumberFormat="1"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2" fontId="1" fillId="0" borderId="26" xfId="0" applyNumberFormat="1" applyFont="1" applyBorder="1" applyAlignment="1">
      <alignment horizontal="center" vertical="center"/>
    </xf>
    <xf numFmtId="2" fontId="1" fillId="0" borderId="4" xfId="0" applyNumberFormat="1" applyFont="1" applyBorder="1" applyAlignment="1">
      <alignment horizontal="center" vertical="center"/>
    </xf>
    <xf numFmtId="9" fontId="3" fillId="0" borderId="12" xfId="0" applyNumberFormat="1" applyFont="1" applyBorder="1" applyAlignment="1">
      <alignment horizontal="center" vertical="center" wrapText="1"/>
    </xf>
    <xf numFmtId="9" fontId="3" fillId="0" borderId="14"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10" fontId="3" fillId="0" borderId="29" xfId="0" applyNumberFormat="1"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29" xfId="0" applyFont="1" applyBorder="1" applyAlignment="1">
      <alignment horizontal="left" vertical="center"/>
    </xf>
    <xf numFmtId="1" fontId="1" fillId="0" borderId="12"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4" borderId="12" xfId="0" applyNumberFormat="1" applyFont="1" applyFill="1" applyBorder="1" applyAlignment="1" applyProtection="1">
      <alignment horizontal="center" vertical="center"/>
      <protection locked="0"/>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33" xfId="0" applyFont="1" applyBorder="1" applyAlignment="1">
      <alignment horizontal="left" vertical="center"/>
    </xf>
    <xf numFmtId="14" fontId="1" fillId="0" borderId="2" xfId="0" applyNumberFormat="1" applyFont="1" applyBorder="1" applyAlignment="1">
      <alignment horizontal="center" vertical="center"/>
    </xf>
    <xf numFmtId="14" fontId="1" fillId="0" borderId="3" xfId="0" applyNumberFormat="1" applyFont="1" applyBorder="1" applyAlignment="1">
      <alignment horizontal="center" vertical="center"/>
    </xf>
    <xf numFmtId="3" fontId="1" fillId="9" borderId="12" xfId="0" applyNumberFormat="1" applyFont="1" applyFill="1" applyBorder="1" applyAlignment="1" applyProtection="1">
      <alignment horizontal="center" vertical="center"/>
      <protection locked="0"/>
    </xf>
    <xf numFmtId="3" fontId="1" fillId="9" borderId="14" xfId="0" applyNumberFormat="1" applyFont="1" applyFill="1" applyBorder="1" applyAlignment="1" applyProtection="1">
      <alignment horizontal="center" vertical="center"/>
      <protection locked="0"/>
    </xf>
    <xf numFmtId="0" fontId="3" fillId="0" borderId="0" xfId="0" applyFont="1" applyAlignment="1">
      <alignment horizontal="center" vertical="center"/>
    </xf>
    <xf numFmtId="0" fontId="1" fillId="4" borderId="12" xfId="0" applyFont="1" applyFill="1" applyBorder="1" applyAlignment="1" applyProtection="1">
      <alignment horizontal="center" vertical="center"/>
      <protection locked="0"/>
    </xf>
    <xf numFmtId="0" fontId="1" fillId="4" borderId="9"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protection locked="0"/>
    </xf>
    <xf numFmtId="0" fontId="1" fillId="0" borderId="12" xfId="0" applyFont="1" applyBorder="1" applyAlignment="1">
      <alignment horizontal="center" vertical="center"/>
    </xf>
    <xf numFmtId="0" fontId="1" fillId="0" borderId="10" xfId="0" applyFont="1" applyBorder="1" applyAlignment="1">
      <alignment horizontal="center" vertical="center"/>
    </xf>
    <xf numFmtId="166" fontId="1" fillId="0" borderId="12" xfId="0" applyNumberFormat="1" applyFont="1" applyBorder="1" applyAlignment="1">
      <alignment horizontal="center" vertical="center"/>
    </xf>
    <xf numFmtId="166" fontId="1" fillId="0" borderId="9" xfId="0" applyNumberFormat="1" applyFont="1" applyBorder="1" applyAlignment="1">
      <alignment horizontal="center" vertical="center"/>
    </xf>
    <xf numFmtId="0" fontId="1" fillId="4" borderId="11" xfId="0" applyFont="1" applyFill="1" applyBorder="1" applyAlignment="1" applyProtection="1">
      <alignment horizontal="center" vertical="center"/>
      <protection locked="0"/>
    </xf>
    <xf numFmtId="0" fontId="1" fillId="4" borderId="30" xfId="0" applyFont="1" applyFill="1" applyBorder="1" applyAlignment="1" applyProtection="1">
      <alignment horizontal="center" vertical="center"/>
      <protection locked="0"/>
    </xf>
    <xf numFmtId="0" fontId="1" fillId="4" borderId="34" xfId="0" applyFont="1" applyFill="1" applyBorder="1" applyAlignment="1" applyProtection="1">
      <alignment horizontal="center" vertical="center"/>
      <protection locked="0"/>
    </xf>
    <xf numFmtId="3" fontId="1" fillId="2" borderId="24" xfId="0" applyNumberFormat="1" applyFont="1" applyFill="1" applyBorder="1" applyAlignment="1" applyProtection="1">
      <alignment horizontal="center" vertical="center"/>
      <protection locked="0"/>
    </xf>
    <xf numFmtId="3" fontId="1" fillId="2" borderId="0" xfId="0" applyNumberFormat="1" applyFont="1" applyFill="1" applyAlignment="1" applyProtection="1">
      <alignment horizontal="center" vertical="center"/>
      <protection locked="0"/>
    </xf>
    <xf numFmtId="3" fontId="1" fillId="2" borderId="33" xfId="0" applyNumberFormat="1" applyFont="1" applyFill="1" applyBorder="1" applyAlignment="1" applyProtection="1">
      <alignment horizontal="center" vertical="center"/>
      <protection locked="0"/>
    </xf>
    <xf numFmtId="0" fontId="1" fillId="0" borderId="9" xfId="0" applyFont="1" applyBorder="1" applyAlignment="1">
      <alignment horizontal="center" vertical="center"/>
    </xf>
    <xf numFmtId="0" fontId="1" fillId="0" borderId="14" xfId="0" applyFont="1" applyBorder="1" applyAlignment="1">
      <alignment horizontal="center" vertical="center"/>
    </xf>
    <xf numFmtId="3" fontId="1" fillId="4" borderId="28" xfId="0" applyNumberFormat="1" applyFont="1" applyFill="1" applyBorder="1" applyAlignment="1" applyProtection="1">
      <alignment horizontal="center" vertical="center"/>
      <protection locked="0"/>
    </xf>
    <xf numFmtId="3" fontId="1" fillId="4" borderId="6" xfId="0" applyNumberFormat="1" applyFont="1" applyFill="1" applyBorder="1" applyAlignment="1" applyProtection="1">
      <alignment horizontal="center" vertical="center"/>
      <protection locked="0"/>
    </xf>
    <xf numFmtId="3" fontId="1" fillId="4" borderId="7" xfId="0" applyNumberFormat="1" applyFont="1" applyFill="1" applyBorder="1" applyAlignment="1" applyProtection="1">
      <alignment horizontal="center" vertical="center"/>
      <protection locked="0"/>
    </xf>
    <xf numFmtId="3" fontId="53" fillId="15" borderId="0" xfId="0" applyNumberFormat="1" applyFont="1" applyFill="1" applyAlignment="1" applyProtection="1">
      <alignment horizontal="center" vertical="center"/>
      <protection locked="0"/>
    </xf>
    <xf numFmtId="0" fontId="3" fillId="0" borderId="22" xfId="0" applyFont="1" applyBorder="1" applyAlignment="1">
      <alignment horizontal="center" vertical="center"/>
    </xf>
    <xf numFmtId="0" fontId="53" fillId="0" borderId="21" xfId="0" applyFont="1" applyBorder="1" applyAlignment="1">
      <alignment horizontal="left" vertical="center"/>
    </xf>
    <xf numFmtId="1" fontId="1" fillId="4" borderId="10"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1" fillId="0" borderId="2" xfId="0" applyFont="1" applyBorder="1" applyAlignment="1">
      <alignment horizontal="center" vertical="center"/>
    </xf>
    <xf numFmtId="0" fontId="1" fillId="0" borderId="55"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0" fontId="1" fillId="0" borderId="0" xfId="0" applyFont="1" applyAlignment="1">
      <alignment horizontal="right"/>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49" fontId="0" fillId="0" borderId="1" xfId="0" applyNumberFormat="1" applyBorder="1" applyAlignment="1">
      <alignment horizontal="center"/>
    </xf>
    <xf numFmtId="49" fontId="0" fillId="0" borderId="2" xfId="0" applyNumberFormat="1" applyBorder="1" applyAlignment="1">
      <alignment horizontal="center"/>
    </xf>
    <xf numFmtId="49" fontId="0" fillId="0" borderId="3" xfId="0" applyNumberFormat="1" applyBorder="1" applyAlignment="1">
      <alignment horizontal="center"/>
    </xf>
    <xf numFmtId="0" fontId="66" fillId="0" borderId="0" xfId="0" applyFont="1" applyAlignment="1">
      <alignment horizontal="left" vertical="center" wrapText="1"/>
    </xf>
    <xf numFmtId="0" fontId="8" fillId="0" borderId="0" xfId="1" applyAlignment="1">
      <alignment vertical="center"/>
    </xf>
  </cellXfs>
  <cellStyles count="10">
    <cellStyle name="Komma" xfId="9" builtinId="3"/>
    <cellStyle name="Link" xfId="1" builtinId="8"/>
    <cellStyle name="Prozent" xfId="4" builtinId="5"/>
    <cellStyle name="Standard" xfId="0" builtinId="0"/>
    <cellStyle name="Standard 2" xfId="2" xr:uid="{00000000-0005-0000-0000-000004000000}"/>
    <cellStyle name="Standard 2 2" xfId="5" xr:uid="{00000000-0005-0000-0000-000005000000}"/>
    <cellStyle name="Standard 3" xfId="3" xr:uid="{00000000-0005-0000-0000-000006000000}"/>
    <cellStyle name="Standard 3 2" xfId="6" xr:uid="{00000000-0005-0000-0000-000007000000}"/>
    <cellStyle name="Standard 4" xfId="8" xr:uid="{00000000-0005-0000-0000-000008000000}"/>
    <cellStyle name="Standard_faxblattformat" xfId="7" xr:uid="{00000000-0005-0000-0000-000009000000}"/>
  </cellStyles>
  <dxfs count="62">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dxf>
    <dxf>
      <font>
        <b val="0"/>
        <i val="0"/>
        <strike val="0"/>
        <condense val="0"/>
        <extend val="0"/>
        <outline val="0"/>
        <shadow val="0"/>
        <u val="none"/>
        <vertAlign val="baseline"/>
        <sz val="9"/>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9"/>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9"/>
        <color auto="1"/>
        <name val="Arial"/>
        <scheme val="none"/>
      </font>
      <alignment horizontal="left" vertical="bottom" textRotation="0" wrapText="0" indent="0" justifyLastLine="0" shrinkToFit="0" readingOrder="0"/>
    </dxf>
    <dxf>
      <font>
        <b/>
        <i val="0"/>
        <strike val="0"/>
        <condense val="0"/>
        <extend val="0"/>
        <outline val="0"/>
        <shadow val="0"/>
        <u val="none"/>
        <vertAlign val="baseline"/>
        <sz val="9"/>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9"/>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9"/>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9"/>
        <color auto="1"/>
        <name val="Arial"/>
        <scheme val="none"/>
      </font>
      <alignment horizontal="left" vertical="bottom" textRotation="0" wrapText="0" indent="0" justifyLastLine="0" shrinkToFit="0" readingOrder="0"/>
    </dxf>
    <dxf>
      <font>
        <b/>
        <i val="0"/>
        <strike val="0"/>
        <condense val="0"/>
        <extend val="0"/>
        <outline val="0"/>
        <shadow val="0"/>
        <u val="none"/>
        <vertAlign val="baseline"/>
        <sz val="9"/>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9"/>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9"/>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9"/>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9"/>
        <color auto="1"/>
        <name val="Arial"/>
        <scheme val="none"/>
      </font>
      <alignment horizontal="left" vertical="bottom" textRotation="0" wrapText="0" indent="0" justifyLastLine="0" shrinkToFit="0" readingOrder="0"/>
    </dxf>
    <dxf>
      <font>
        <b/>
        <i val="0"/>
        <strike val="0"/>
        <condense val="0"/>
        <extend val="0"/>
        <outline val="0"/>
        <shadow val="0"/>
        <u val="none"/>
        <vertAlign val="baseline"/>
        <sz val="9"/>
        <color auto="1"/>
        <name val="Arial"/>
        <scheme val="none"/>
      </font>
      <alignment horizontal="left" vertical="bottom" textRotation="0" wrapText="0" indent="0" justifyLastLine="0" shrinkToFit="0" readingOrder="0"/>
    </dxf>
    <dxf>
      <border>
        <left style="thin">
          <color auto="1"/>
        </left>
        <right style="hair">
          <color auto="1"/>
        </right>
        <top style="hair">
          <color auto="1"/>
        </top>
        <bottom style="thin">
          <color auto="1"/>
        </bottom>
        <vertical/>
        <horizontal/>
      </border>
    </dxf>
    <dxf>
      <fill>
        <patternFill>
          <bgColor rgb="FFFFFF00"/>
        </patternFill>
      </fill>
      <border>
        <right style="thin">
          <color auto="1"/>
        </right>
        <top style="hair">
          <color auto="1"/>
        </top>
        <bottom style="thin">
          <color auto="1"/>
        </bottom>
      </border>
    </dxf>
    <dxf>
      <font>
        <strike val="0"/>
        <color auto="1"/>
      </font>
      <fill>
        <patternFill patternType="none">
          <bgColor auto="1"/>
        </patternFill>
      </fill>
      <border>
        <left/>
        <right/>
        <top/>
        <bottom/>
      </border>
    </dxf>
    <dxf>
      <font>
        <color rgb="FF9C0006"/>
      </font>
      <fill>
        <patternFill>
          <bgColor rgb="FFFFC7CE"/>
        </patternFill>
      </fill>
    </dxf>
    <dxf>
      <font>
        <color theme="5"/>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339933"/>
      <color rgb="FFFFFFCC"/>
      <color rgb="FFFFCCFF"/>
      <color rgb="FFCCCCFF"/>
      <color rgb="FFCC3399"/>
      <color rgb="FFFFFF99"/>
      <color rgb="FFF6FAD2"/>
      <color rgb="FFFA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e-CH">
                <a:solidFill>
                  <a:sysClr val="windowText" lastClr="000000"/>
                </a:solidFill>
              </a:rPr>
              <a:t>Heizkosten in Franken pro Jahr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9.8789337379339204E-2"/>
          <c:y val="0.11028062932859609"/>
          <c:w val="0.87684742895510159"/>
          <c:h val="0.62808954338776446"/>
        </c:manualLayout>
      </c:layout>
      <c:barChart>
        <c:barDir val="col"/>
        <c:grouping val="stacked"/>
        <c:varyColors val="0"/>
        <c:ser>
          <c:idx val="2"/>
          <c:order val="0"/>
          <c:tx>
            <c:strRef>
              <c:f>Bild_Heizkosten!$A$5</c:f>
              <c:strCache>
                <c:ptCount val="1"/>
                <c:pt idx="0">
                  <c:v>Kapitalkosten</c:v>
                </c:pt>
              </c:strCache>
            </c:strRef>
          </c:tx>
          <c:spPr>
            <a:solidFill>
              <a:srgbClr val="0070C0"/>
            </a:solidFill>
            <a:ln>
              <a:noFill/>
            </a:ln>
            <a:effectLst/>
          </c:spPr>
          <c:invertIfNegative val="0"/>
          <c:cat>
            <c:strRef>
              <c:f>Bild_Heizkosten!$B$2:$F$2</c:f>
              <c:strCache>
                <c:ptCount val="4"/>
                <c:pt idx="0">
                  <c:v> </c:v>
                </c:pt>
                <c:pt idx="3">
                  <c:v> </c:v>
                </c:pt>
              </c:strCache>
            </c:strRef>
          </c:cat>
          <c:val>
            <c:numRef>
              <c:f>Bild_Heizkosten!$B$5:$F$5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E523-4DED-BECA-5883D6EDE33E}"/>
            </c:ext>
          </c:extLst>
        </c:ser>
        <c:ser>
          <c:idx val="1"/>
          <c:order val="1"/>
          <c:tx>
            <c:strRef>
              <c:f>Bild_Heizkosten!$A$4</c:f>
              <c:strCache>
                <c:ptCount val="1"/>
                <c:pt idx="0">
                  <c:v>Wartung und Unterhalt</c:v>
                </c:pt>
              </c:strCache>
            </c:strRef>
          </c:tx>
          <c:spPr>
            <a:solidFill>
              <a:srgbClr val="FFC000"/>
            </a:solidFill>
            <a:ln>
              <a:noFill/>
            </a:ln>
            <a:effectLst/>
          </c:spPr>
          <c:invertIfNegative val="0"/>
          <c:cat>
            <c:strRef>
              <c:f>Bild_Heizkosten!$B$2:$F$2</c:f>
              <c:strCache>
                <c:ptCount val="4"/>
                <c:pt idx="0">
                  <c:v> </c:v>
                </c:pt>
                <c:pt idx="3">
                  <c:v> </c:v>
                </c:pt>
              </c:strCache>
            </c:strRef>
          </c:cat>
          <c:val>
            <c:numRef>
              <c:f>Bild_Heizkosten!$B$4:$F$4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E523-4DED-BECA-5883D6EDE33E}"/>
            </c:ext>
          </c:extLst>
        </c:ser>
        <c:ser>
          <c:idx val="0"/>
          <c:order val="2"/>
          <c:tx>
            <c:strRef>
              <c:f>Bild_Heizkosten!$A$3</c:f>
              <c:strCache>
                <c:ptCount val="1"/>
                <c:pt idx="0">
                  <c:v>Energiekosten</c:v>
                </c:pt>
              </c:strCache>
            </c:strRef>
          </c:tx>
          <c:spPr>
            <a:solidFill>
              <a:srgbClr val="339933"/>
            </a:solidFill>
            <a:ln>
              <a:noFill/>
            </a:ln>
            <a:effectLst/>
          </c:spPr>
          <c:invertIfNegative val="0"/>
          <c:cat>
            <c:strRef>
              <c:f>Bild_Heizkosten!$B$2:$F$2</c:f>
              <c:strCache>
                <c:ptCount val="4"/>
                <c:pt idx="0">
                  <c:v> </c:v>
                </c:pt>
                <c:pt idx="3">
                  <c:v> </c:v>
                </c:pt>
              </c:strCache>
            </c:strRef>
          </c:cat>
          <c:val>
            <c:numRef>
              <c:f>Bild_Heizkosten!$B$3:$F$3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E523-4DED-BECA-5883D6EDE33E}"/>
            </c:ext>
          </c:extLst>
        </c:ser>
        <c:dLbls>
          <c:showLegendKey val="0"/>
          <c:showVal val="0"/>
          <c:showCatName val="0"/>
          <c:showSerName val="0"/>
          <c:showPercent val="0"/>
          <c:showBubbleSize val="0"/>
        </c:dLbls>
        <c:gapWidth val="150"/>
        <c:overlap val="100"/>
        <c:axId val="733547168"/>
        <c:axId val="733549136"/>
      </c:barChart>
      <c:lineChart>
        <c:grouping val="standard"/>
        <c:varyColors val="0"/>
        <c:ser>
          <c:idx val="3"/>
          <c:order val="3"/>
          <c:tx>
            <c:strRef>
              <c:f>Bild_Heizkosten!$A$8</c:f>
              <c:strCache>
                <c:ptCount val="1"/>
                <c:pt idx="0">
                  <c:v>105% - Wert</c:v>
                </c:pt>
              </c:strCache>
            </c:strRef>
          </c:tx>
          <c:spPr>
            <a:ln w="28575" cap="rnd">
              <a:solidFill>
                <a:srgbClr val="FF0000"/>
              </a:solidFill>
              <a:round/>
            </a:ln>
            <a:effectLst/>
          </c:spPr>
          <c:marker>
            <c:symbol val="none"/>
          </c:marker>
          <c:cat>
            <c:strRef>
              <c:f>Bild_Heizkosten!$B$2:$F$2</c:f>
              <c:strCache>
                <c:ptCount val="4"/>
                <c:pt idx="0">
                  <c:v> </c:v>
                </c:pt>
                <c:pt idx="3">
                  <c:v> </c:v>
                </c:pt>
              </c:strCache>
            </c:strRef>
          </c:cat>
          <c:val>
            <c:numRef>
              <c:f>Bild_Heizkosten!$B$8:$F$8</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E523-4DED-BECA-5883D6EDE33E}"/>
            </c:ext>
          </c:extLst>
        </c:ser>
        <c:dLbls>
          <c:showLegendKey val="0"/>
          <c:showVal val="0"/>
          <c:showCatName val="0"/>
          <c:showSerName val="0"/>
          <c:showPercent val="0"/>
          <c:showBubbleSize val="0"/>
        </c:dLbls>
        <c:marker val="1"/>
        <c:smooth val="0"/>
        <c:axId val="733547168"/>
        <c:axId val="733549136"/>
      </c:lineChart>
      <c:catAx>
        <c:axId val="733547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crossAx val="733549136"/>
        <c:crosses val="autoZero"/>
        <c:auto val="1"/>
        <c:lblAlgn val="ctr"/>
        <c:lblOffset val="100"/>
        <c:noMultiLvlLbl val="0"/>
      </c:catAx>
      <c:valAx>
        <c:axId val="733549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crossAx val="733547168"/>
        <c:crosses val="autoZero"/>
        <c:crossBetween val="between"/>
      </c:valAx>
      <c:spPr>
        <a:noFill/>
        <a:ln>
          <a:noFill/>
        </a:ln>
        <a:effectLst/>
      </c:spPr>
    </c:plotArea>
    <c:legend>
      <c:legendPos val="b"/>
      <c:layout>
        <c:manualLayout>
          <c:xMode val="edge"/>
          <c:yMode val="edge"/>
          <c:x val="0.11628901038532974"/>
          <c:y val="0.84981163436198792"/>
          <c:w val="0.77185165807762401"/>
          <c:h val="0.13038639058590198"/>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142875</xdr:colOff>
      <xdr:row>0</xdr:row>
      <xdr:rowOff>1</xdr:rowOff>
    </xdr:from>
    <xdr:to>
      <xdr:col>13</xdr:col>
      <xdr:colOff>1588</xdr:colOff>
      <xdr:row>1</xdr:row>
      <xdr:rowOff>161926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34545"/>
        <a:stretch/>
      </xdr:blipFill>
      <xdr:spPr bwMode="auto">
        <a:xfrm>
          <a:off x="7353300" y="1"/>
          <a:ext cx="1392238"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8</xdr:row>
      <xdr:rowOff>190499</xdr:rowOff>
    </xdr:from>
    <xdr:to>
      <xdr:col>5</xdr:col>
      <xdr:colOff>828675</xdr:colOff>
      <xdr:row>34</xdr:row>
      <xdr:rowOff>114300</xdr:rowOff>
    </xdr:to>
    <xdr:graphicFrame macro="">
      <xdr:nvGraphicFramePr>
        <xdr:cNvPr id="2" name="Diagram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D22:F42" totalsRowShown="0" headerRowDxfId="39" dataDxfId="38">
  <autoFilter ref="D22:F42" xr:uid="{00000000-0009-0000-0100-000002000000}"/>
  <tableColumns count="3">
    <tableColumn id="1" xr3:uid="{00000000-0010-0000-0000-000001000000}" name="Code" dataDxfId="37"/>
    <tableColumn id="2" xr3:uid="{00000000-0010-0000-0000-000002000000}" name="Quelle" dataDxfId="36"/>
    <tableColumn id="3" xr3:uid="{00000000-0010-0000-0000-000003000000}" name="Heizsystem (Übersetzung)" dataDxfId="35"/>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4" displayName="Table24" ref="A22:B42" totalsRowShown="0" headerRowDxfId="34" dataDxfId="33">
  <autoFilter ref="A22:B42" xr:uid="{00000000-0009-0000-0100-000003000000}"/>
  <tableColumns count="2">
    <tableColumn id="1" xr3:uid="{00000000-0010-0000-0100-000001000000}" name="Code" dataDxfId="32"/>
    <tableColumn id="2" xr3:uid="{00000000-0010-0000-0100-000002000000}" name="Wärmeerzeuger" dataDxfId="31"/>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242" displayName="Table242" ref="A45:B56" totalsRowShown="0" headerRowDxfId="30" dataDxfId="29">
  <autoFilter ref="A45:B56" xr:uid="{00000000-0009-0000-0100-000001000000}"/>
  <tableColumns count="2">
    <tableColumn id="1" xr3:uid="{00000000-0010-0000-0200-000001000000}" name="Code" dataDxfId="28"/>
    <tableColumn id="2" xr3:uid="{00000000-0010-0000-0200-000002000000}" name="Wärmeerzeuger" dataDxfId="27"/>
  </tableColumns>
  <tableStyleInfo name="TableStyleLight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zh.ch/de/umwelt-tiere/energie/energiefoerderung.html" TargetMode="External"/><Relationship Id="rId2" Type="http://schemas.openxmlformats.org/officeDocument/2006/relationships/hyperlink" Target="https://www.bfs.admin.ch/bfs/de/home/statistiken/preise/landesindex-konsumentenpreise/detailresultate.assetdetail.13407088.html" TargetMode="External"/><Relationship Id="rId1" Type="http://schemas.openxmlformats.org/officeDocument/2006/relationships/hyperlink" Target="https://www.strompreis.elcom.admin.ch/" TargetMode="External"/><Relationship Id="rId5" Type="http://schemas.openxmlformats.org/officeDocument/2006/relationships/printerSettings" Target="../printerSettings/printerSettings5.bin"/><Relationship Id="rId4" Type="http://schemas.openxmlformats.org/officeDocument/2006/relationships/hyperlink" Target="https://www.bwo.admin.ch/bwo/de/home/mietrecht/referenzzinssatz/entwicklung-referenzzinssatz-und-durchschnittszinssatz.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strompreis.elcom.admin.ch/%20(Preise%20=%20Totalpreise%20von%20Standardprodukt%20/%20ab%202018%20Standartprodukt,%20vorher%20g&#252;nstigstes%20Produkt)" TargetMode="External"/><Relationship Id="rId7" Type="http://schemas.openxmlformats.org/officeDocument/2006/relationships/hyperlink" Target="https://www.holzenergie.ch/fachthemen/preisindex-schnitzel-und-holzpellets" TargetMode="External"/><Relationship Id="rId2" Type="http://schemas.openxmlformats.org/officeDocument/2006/relationships/hyperlink" Target="https://www.stadt-zuerich.ch/ted/de/index/entsorgung_recycling/zuerich_waerme/angebot/preise.html" TargetMode="External"/><Relationship Id="rId1" Type="http://schemas.openxmlformats.org/officeDocument/2006/relationships/hyperlink" Target="https://www.klimaneutral-handeln.de/php/kompens-berechnen.php%201%20kWh%20Erdgas%20=%3e%200.22%20kg%20CO2" TargetMode="External"/><Relationship Id="rId6" Type="http://schemas.openxmlformats.org/officeDocument/2006/relationships/hyperlink" Target="https://www.holzenergie.ch/fileadmin/user_resources/01_Holzenergie/Energieholz_Richtpreise/22_Preisindex_Schnitzel.pdf" TargetMode="External"/><Relationship Id="rId5" Type="http://schemas.openxmlformats.org/officeDocument/2006/relationships/hyperlink" Target="https://www.bafu.admin.ch/bafu/de/home/themen/klima/fachinformationen/verminderungsmassnahmen/co2-abgabe.html" TargetMode="External"/><Relationship Id="rId4" Type="http://schemas.openxmlformats.org/officeDocument/2006/relationships/hyperlink" Target="https://stadtwerk.winterthur.ch/privatkundschaft/angebote/heize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Y251"/>
  <sheetViews>
    <sheetView showGridLines="0" tabSelected="1" zoomScaleNormal="100" workbookViewId="0">
      <pane xSplit="1" ySplit="6" topLeftCell="B7" activePane="bottomRight" state="frozen"/>
      <selection activeCell="H17" sqref="H17:M17"/>
      <selection pane="topRight" activeCell="H17" sqref="H17:M17"/>
      <selection pane="bottomLeft" activeCell="H17" sqref="H17:M17"/>
      <selection pane="bottomRight" activeCell="P16" sqref="P16"/>
    </sheetView>
  </sheetViews>
  <sheetFormatPr baseColWidth="10" defaultColWidth="10.85546875" defaultRowHeight="14.25" x14ac:dyDescent="0.25"/>
  <cols>
    <col min="1" max="1" width="3.85546875" style="31" bestFit="1" customWidth="1"/>
    <col min="2" max="2" width="37" style="31" customWidth="1"/>
    <col min="3" max="3" width="8.5703125" style="31" customWidth="1"/>
    <col min="4" max="13" width="7.28515625" style="31" customWidth="1"/>
    <col min="14" max="14" width="10.85546875" style="31"/>
    <col min="15" max="15" width="10.85546875" style="31" customWidth="1"/>
    <col min="16" max="19" width="10.85546875" style="31"/>
    <col min="20" max="21" width="10.85546875" style="31" customWidth="1"/>
    <col min="22" max="16384" width="10.85546875" style="31"/>
  </cols>
  <sheetData>
    <row r="1" spans="1:25" x14ac:dyDescent="0.25">
      <c r="A1" s="30"/>
      <c r="B1" s="412" t="s">
        <v>424</v>
      </c>
      <c r="C1" s="413"/>
      <c r="D1" s="413"/>
      <c r="E1" s="413"/>
      <c r="F1" s="413"/>
      <c r="G1" s="413"/>
      <c r="H1" s="413"/>
      <c r="I1" s="30"/>
      <c r="J1" s="30"/>
      <c r="K1" s="30"/>
      <c r="L1" s="30"/>
      <c r="M1" s="30"/>
      <c r="N1" s="166"/>
      <c r="O1" s="105"/>
      <c r="P1" s="105"/>
      <c r="W1" s="166"/>
      <c r="X1" s="166"/>
      <c r="Y1" s="166"/>
    </row>
    <row r="2" spans="1:25" x14ac:dyDescent="0.25">
      <c r="A2" s="30"/>
      <c r="B2" s="413"/>
      <c r="C2" s="413"/>
      <c r="D2" s="413"/>
      <c r="E2" s="413"/>
      <c r="F2" s="413"/>
      <c r="G2" s="413"/>
      <c r="H2" s="413"/>
      <c r="I2" s="30"/>
      <c r="J2" s="30"/>
      <c r="K2" s="30"/>
      <c r="L2" s="30"/>
      <c r="M2" s="30"/>
      <c r="N2" s="166"/>
      <c r="O2" s="105"/>
      <c r="P2" s="105"/>
      <c r="W2" s="166"/>
      <c r="X2" s="166"/>
      <c r="Y2" s="166"/>
    </row>
    <row r="3" spans="1:25" x14ac:dyDescent="0.25">
      <c r="A3" s="30"/>
      <c r="B3" s="30"/>
      <c r="C3" s="30"/>
      <c r="D3" s="30"/>
      <c r="E3" s="30"/>
      <c r="F3" s="30"/>
      <c r="G3" s="30"/>
      <c r="H3" s="30"/>
      <c r="I3" s="30"/>
      <c r="J3" s="30"/>
      <c r="K3" s="30"/>
      <c r="L3" s="30"/>
      <c r="M3" s="30"/>
      <c r="N3" s="166"/>
      <c r="O3" s="105"/>
      <c r="P3" s="105"/>
      <c r="W3" s="166"/>
      <c r="X3" s="166"/>
      <c r="Y3" s="166"/>
    </row>
    <row r="4" spans="1:25" x14ac:dyDescent="0.25">
      <c r="A4" s="30"/>
      <c r="B4" s="177" t="s">
        <v>423</v>
      </c>
      <c r="C4" s="178"/>
      <c r="D4" s="182"/>
      <c r="E4" s="179"/>
      <c r="F4" s="180" t="s">
        <v>416</v>
      </c>
      <c r="G4" s="410" t="str">
        <f>'Log-Journal'!E2</f>
        <v>v_1.0.11</v>
      </c>
      <c r="H4" s="411"/>
      <c r="I4" s="181"/>
      <c r="J4" s="179"/>
      <c r="K4" s="180" t="s">
        <v>214</v>
      </c>
      <c r="L4" s="381">
        <v>45504</v>
      </c>
      <c r="M4" s="382"/>
      <c r="N4" s="166"/>
      <c r="O4" s="105"/>
      <c r="P4" s="105"/>
      <c r="Q4" s="166"/>
      <c r="R4" s="166"/>
      <c r="S4" s="166"/>
      <c r="T4" s="166"/>
      <c r="U4" s="166"/>
      <c r="V4" s="166"/>
      <c r="W4" s="166"/>
      <c r="X4" s="166"/>
      <c r="Y4" s="166"/>
    </row>
    <row r="5" spans="1:25" ht="15" customHeight="1" x14ac:dyDescent="0.25">
      <c r="A5" s="30"/>
      <c r="B5" s="199" t="s">
        <v>495</v>
      </c>
      <c r="C5" s="317"/>
      <c r="D5" s="318"/>
      <c r="E5" s="318"/>
      <c r="F5" s="318"/>
      <c r="G5" s="318"/>
      <c r="H5" s="318"/>
      <c r="I5" s="318"/>
      <c r="J5" s="318"/>
      <c r="K5" s="318"/>
      <c r="L5" s="318"/>
      <c r="M5" s="319"/>
      <c r="O5" s="100" t="s">
        <v>562</v>
      </c>
      <c r="P5" s="100"/>
    </row>
    <row r="6" spans="1:25" ht="15" customHeight="1" x14ac:dyDescent="0.25">
      <c r="A6" s="30"/>
      <c r="B6" s="200" t="s">
        <v>494</v>
      </c>
      <c r="C6" s="320"/>
      <c r="D6" s="321"/>
      <c r="E6" s="321"/>
      <c r="F6" s="321"/>
      <c r="G6" s="321"/>
      <c r="H6" s="321"/>
      <c r="I6" s="321"/>
      <c r="J6" s="321"/>
      <c r="K6" s="321"/>
      <c r="L6" s="321"/>
      <c r="M6" s="322"/>
      <c r="O6" s="100" t="s">
        <v>563</v>
      </c>
      <c r="P6" s="100"/>
      <c r="R6" s="30"/>
    </row>
    <row r="7" spans="1:25" ht="15" customHeight="1" x14ac:dyDescent="0.25">
      <c r="A7" s="30"/>
      <c r="B7" s="349" t="s">
        <v>529</v>
      </c>
      <c r="C7" s="323" t="s">
        <v>547</v>
      </c>
      <c r="D7" s="323"/>
      <c r="E7" s="325" t="str">
        <f>IF(C6="","",IF(ISERROR(GWR!C3),"Adresse nicht gefunden",GWR!C3))</f>
        <v/>
      </c>
      <c r="F7" s="326"/>
      <c r="G7" s="327"/>
      <c r="H7" s="323" t="s">
        <v>549</v>
      </c>
      <c r="I7" s="323"/>
      <c r="J7" s="323"/>
      <c r="K7" s="331" t="str">
        <f>IF(C6="","",IF($E$7="Adresse nicht gefunden",$E$7,GWR!B9))</f>
        <v/>
      </c>
      <c r="L7" s="332"/>
      <c r="M7" s="333"/>
      <c r="O7" s="335" t="e">
        <f>HYPERLINK("http://map.geo.admin.ch/?ch.bfs.gebaeude_wohnungs_register="&amp;GWR!C3&amp;"_0&amp;lang=de&amp;topic=ech&amp;zoom=10&amp;crosshair=circle", "Karte anschauen")</f>
        <v>#VALUE!</v>
      </c>
      <c r="P7" s="316"/>
      <c r="Q7" s="30" t="s">
        <v>557</v>
      </c>
      <c r="R7" s="30"/>
      <c r="S7" s="171"/>
      <c r="T7" s="171"/>
      <c r="U7" s="30"/>
    </row>
    <row r="8" spans="1:25" ht="15" customHeight="1" x14ac:dyDescent="0.25">
      <c r="A8" s="30"/>
      <c r="B8" s="350"/>
      <c r="C8" s="324" t="s">
        <v>548</v>
      </c>
      <c r="D8" s="324"/>
      <c r="E8" s="328" t="str">
        <f>IF(C6="","",IF($E$7="Adresse nicht gefunden",$E$7,GWR!B11))</f>
        <v/>
      </c>
      <c r="F8" s="329"/>
      <c r="G8" s="330"/>
      <c r="H8" s="324" t="s">
        <v>550</v>
      </c>
      <c r="I8" s="324"/>
      <c r="J8" s="324"/>
      <c r="K8" s="328" t="str">
        <f>IF(C6="","",IF($E$7="Adresse nicht gefunden",$E$7,GWR!B15))</f>
        <v/>
      </c>
      <c r="L8" s="329"/>
      <c r="M8" s="334"/>
      <c r="O8" s="316" t="str">
        <f>HYPERLINK("https://api.geo.admin.ch/rest/services/ech/MapServer/ch.bfs.gebaeude_wohnungs_register/" &amp; GWR!B3 &amp; "/extendedHtmlPopup?lang=de", "GWR Daten anschauen")</f>
        <v>GWR Daten anschauen</v>
      </c>
      <c r="P8" s="316"/>
      <c r="Q8" s="100" t="s">
        <v>631</v>
      </c>
      <c r="R8" s="30"/>
      <c r="S8" s="171"/>
      <c r="T8" s="171"/>
      <c r="U8" s="30"/>
    </row>
    <row r="9" spans="1:25" x14ac:dyDescent="0.25">
      <c r="A9" s="30"/>
      <c r="B9" s="30"/>
      <c r="C9" s="30"/>
      <c r="D9" s="30"/>
      <c r="E9" s="30"/>
      <c r="F9" s="30"/>
      <c r="G9" s="30"/>
      <c r="H9" s="30"/>
      <c r="I9" s="30"/>
      <c r="J9" s="30"/>
      <c r="K9" s="30"/>
      <c r="L9" s="30"/>
      <c r="M9" s="30"/>
    </row>
    <row r="10" spans="1:25" x14ac:dyDescent="0.25">
      <c r="A10" s="99">
        <v>1</v>
      </c>
      <c r="B10" s="338" t="s">
        <v>0</v>
      </c>
      <c r="C10" s="339"/>
      <c r="D10" s="339"/>
      <c r="E10" s="339"/>
      <c r="F10" s="339"/>
      <c r="G10" s="339"/>
      <c r="H10" s="339"/>
      <c r="I10" s="339"/>
      <c r="J10" s="339"/>
      <c r="K10" s="339"/>
      <c r="L10" s="339"/>
      <c r="M10" s="340"/>
      <c r="O10" s="100"/>
      <c r="P10" s="100"/>
      <c r="Q10" s="100"/>
      <c r="R10" s="100"/>
    </row>
    <row r="11" spans="1:25" ht="15" customHeight="1" x14ac:dyDescent="0.25">
      <c r="A11" s="101">
        <v>1.1000000000000001</v>
      </c>
      <c r="B11" s="102" t="s">
        <v>1</v>
      </c>
      <c r="C11" s="103"/>
      <c r="D11" s="103"/>
      <c r="E11" s="103"/>
      <c r="F11" s="103"/>
      <c r="G11" s="103"/>
      <c r="H11" s="103"/>
      <c r="I11" s="103"/>
      <c r="J11" s="386" t="s">
        <v>10</v>
      </c>
      <c r="K11" s="387"/>
      <c r="L11" s="387"/>
      <c r="M11" s="388"/>
      <c r="O11" s="100" t="s">
        <v>564</v>
      </c>
      <c r="P11" s="100"/>
      <c r="Q11" s="100"/>
      <c r="R11" s="100"/>
    </row>
    <row r="12" spans="1:25" ht="15" customHeight="1" x14ac:dyDescent="0.25">
      <c r="A12" s="101">
        <v>1.2</v>
      </c>
      <c r="B12" s="102" t="s">
        <v>248</v>
      </c>
      <c r="C12" s="103"/>
      <c r="D12" s="103"/>
      <c r="E12" s="103"/>
      <c r="F12" s="103"/>
      <c r="G12" s="103"/>
      <c r="H12" s="103"/>
      <c r="I12" s="103"/>
      <c r="J12" s="311" t="str">
        <f>IF(ISERR(VLOOKUP(J11,Stromverbrauch_ref,2,FALSE))," ",IF(ISNA(VLOOKUP(J11,Stromverbrauch_ref,2,FALSE))," ",VLOOKUP(J11,Stromverbrauch_ref,2,FALSE)))</f>
        <v>C3</v>
      </c>
      <c r="K12" s="312"/>
      <c r="L12" s="383"/>
      <c r="M12" s="384"/>
      <c r="O12" s="100" t="s">
        <v>565</v>
      </c>
      <c r="P12" s="100"/>
      <c r="Q12" s="100"/>
      <c r="R12" s="100"/>
    </row>
    <row r="13" spans="1:25" ht="15" customHeight="1" x14ac:dyDescent="0.25">
      <c r="A13" s="101">
        <v>1.3</v>
      </c>
      <c r="B13" s="102" t="s">
        <v>220</v>
      </c>
      <c r="C13" s="103"/>
      <c r="D13" s="103"/>
      <c r="E13" s="103"/>
      <c r="F13" s="103"/>
      <c r="G13" s="103"/>
      <c r="H13" s="389" t="s">
        <v>107</v>
      </c>
      <c r="I13" s="390"/>
      <c r="J13" s="393"/>
      <c r="K13" s="394"/>
      <c r="L13" s="394"/>
      <c r="M13" s="395"/>
      <c r="O13" s="100" t="s">
        <v>566</v>
      </c>
      <c r="P13" s="100"/>
      <c r="Q13" s="100"/>
      <c r="R13" s="100"/>
    </row>
    <row r="14" spans="1:25" ht="15" customHeight="1" x14ac:dyDescent="0.25">
      <c r="A14" s="101">
        <v>1.4</v>
      </c>
      <c r="B14" s="102" t="s">
        <v>217</v>
      </c>
      <c r="C14" s="104"/>
      <c r="F14" s="391" t="str">
        <f>(IF(Heizleistungsbedarf=0," ",Heizleistungsbedarf/EBF*1000))</f>
        <v xml:space="preserve"> </v>
      </c>
      <c r="G14" s="392"/>
      <c r="H14" s="389" t="s">
        <v>4</v>
      </c>
      <c r="I14" s="390"/>
      <c r="J14" s="396"/>
      <c r="K14" s="397"/>
      <c r="L14" s="397"/>
      <c r="M14" s="398"/>
      <c r="O14" s="100" t="s">
        <v>567</v>
      </c>
      <c r="P14" s="100"/>
      <c r="Q14" s="100"/>
      <c r="R14" s="100"/>
    </row>
    <row r="15" spans="1:25" x14ac:dyDescent="0.25">
      <c r="A15" s="101">
        <v>1.5</v>
      </c>
      <c r="B15" s="102" t="s">
        <v>376</v>
      </c>
      <c r="C15" s="103"/>
      <c r="D15" s="103"/>
      <c r="E15" s="103"/>
      <c r="F15" s="103"/>
      <c r="G15" s="103"/>
      <c r="H15" s="389" t="s">
        <v>375</v>
      </c>
      <c r="I15" s="390"/>
      <c r="J15" s="389">
        <f>IF(ISERROR(VLOOKUP($J$11,Warmwasserbedarf_ref,3,FALSE))," ",(VLOOKUP($J$11,Warmwasserbedarf_ref,3,FALSE)))</f>
        <v>7</v>
      </c>
      <c r="K15" s="399"/>
      <c r="L15" s="399"/>
      <c r="M15" s="400"/>
      <c r="O15" s="105"/>
      <c r="P15" s="100"/>
      <c r="Q15" s="100"/>
      <c r="R15" s="100"/>
    </row>
    <row r="16" spans="1:25" x14ac:dyDescent="0.25">
      <c r="A16" s="101">
        <v>1.6</v>
      </c>
      <c r="B16" s="102" t="s">
        <v>110</v>
      </c>
      <c r="C16" s="103"/>
      <c r="D16" s="103"/>
      <c r="E16" s="103"/>
      <c r="F16" s="103"/>
      <c r="G16" s="103"/>
      <c r="H16" s="389" t="s">
        <v>6</v>
      </c>
      <c r="I16" s="390"/>
      <c r="J16" s="311">
        <f>IF(ISERROR(Heizleistungsbedarf*Heizgradtage*Betriebszeit/(Ti-Ta)+EBF*Warmwasserbedarf)," ",Heizleistungsbedarf*Heizgradtage*Betriebszeit/(Ti-Ta)+EBF*Warmwasserbedarf)</f>
        <v>0</v>
      </c>
      <c r="K16" s="312"/>
      <c r="L16" s="383"/>
      <c r="M16" s="384"/>
      <c r="O16" s="100" t="s">
        <v>568</v>
      </c>
      <c r="P16" s="100"/>
      <c r="Q16" s="100"/>
      <c r="R16" s="100"/>
    </row>
    <row r="17" spans="1:20" x14ac:dyDescent="0.25">
      <c r="A17" s="101">
        <v>1.7</v>
      </c>
      <c r="B17" s="106" t="s">
        <v>82</v>
      </c>
      <c r="C17" s="107"/>
      <c r="D17" s="107"/>
      <c r="E17" s="107"/>
      <c r="F17" s="107"/>
      <c r="G17" s="107"/>
      <c r="H17" s="401"/>
      <c r="I17" s="402"/>
      <c r="J17" s="402"/>
      <c r="K17" s="402"/>
      <c r="L17" s="402"/>
      <c r="M17" s="403"/>
      <c r="O17" s="100" t="s">
        <v>569</v>
      </c>
      <c r="P17" s="100"/>
      <c r="Q17" s="100"/>
      <c r="R17" s="100"/>
    </row>
    <row r="18" spans="1:20" s="159" customFormat="1" x14ac:dyDescent="0.25">
      <c r="A18" s="165">
        <v>1.8</v>
      </c>
      <c r="B18" s="406" t="s">
        <v>111</v>
      </c>
      <c r="C18" s="406"/>
      <c r="D18" s="406"/>
      <c r="E18" s="406"/>
      <c r="F18" s="406"/>
      <c r="G18" s="406"/>
      <c r="H18" s="404"/>
      <c r="I18" s="404"/>
      <c r="J18" s="404"/>
      <c r="K18" s="404"/>
      <c r="L18" s="404"/>
      <c r="M18" s="404"/>
      <c r="O18" s="158" t="s">
        <v>570</v>
      </c>
      <c r="P18" s="158"/>
      <c r="Q18" s="158"/>
      <c r="R18" s="158"/>
    </row>
    <row r="19" spans="1:20" x14ac:dyDescent="0.25">
      <c r="A19" s="30"/>
      <c r="B19" s="30"/>
      <c r="C19" s="30"/>
      <c r="D19" s="405" t="s">
        <v>25</v>
      </c>
      <c r="E19" s="405"/>
      <c r="F19" s="405"/>
      <c r="G19" s="405"/>
      <c r="H19" s="405"/>
      <c r="I19" s="405"/>
      <c r="J19" s="385" t="s">
        <v>26</v>
      </c>
      <c r="K19" s="385"/>
      <c r="L19" s="385"/>
      <c r="M19" s="385"/>
      <c r="O19" s="100"/>
      <c r="P19" s="100"/>
      <c r="Q19" s="100"/>
      <c r="R19" s="100"/>
      <c r="S19" s="100"/>
      <c r="T19" s="100"/>
    </row>
    <row r="20" spans="1:20" x14ac:dyDescent="0.25">
      <c r="A20" s="30"/>
      <c r="B20" s="108" t="s">
        <v>27</v>
      </c>
      <c r="C20" s="109"/>
      <c r="D20" s="343" t="str">
        <f>IF(ISERROR(IF(Fernwärme=0," ",IF(Fernwärme="Ja","Fernwärme"," ")))," ",IF(Fernwärme=0," ",IF(Fernwärme="Ja","Fernwärme"," ")))</f>
        <v xml:space="preserve"> </v>
      </c>
      <c r="E20" s="344"/>
      <c r="F20" s="408"/>
      <c r="G20" s="409"/>
      <c r="H20" s="351"/>
      <c r="I20" s="352"/>
      <c r="J20" s="343" t="str">
        <f>IF(H17=0," ","Oelheizung")</f>
        <v xml:space="preserve"> </v>
      </c>
      <c r="K20" s="344"/>
      <c r="L20" s="336"/>
      <c r="M20" s="337"/>
      <c r="O20" s="100" t="s">
        <v>379</v>
      </c>
      <c r="P20" s="100"/>
      <c r="Q20" s="100"/>
      <c r="R20" s="100"/>
      <c r="S20" s="100"/>
      <c r="T20" s="100"/>
    </row>
    <row r="21" spans="1:20" ht="15" customHeight="1" x14ac:dyDescent="0.25">
      <c r="A21" s="99">
        <v>2</v>
      </c>
      <c r="B21" s="338" t="s">
        <v>30</v>
      </c>
      <c r="C21" s="339"/>
      <c r="D21" s="339"/>
      <c r="E21" s="339"/>
      <c r="F21" s="339"/>
      <c r="G21" s="339"/>
      <c r="H21" s="339"/>
      <c r="I21" s="339"/>
      <c r="J21" s="339"/>
      <c r="K21" s="339"/>
      <c r="L21" s="339"/>
      <c r="M21" s="340"/>
      <c r="O21" s="100" t="s">
        <v>571</v>
      </c>
      <c r="P21" s="100"/>
      <c r="Q21" s="100"/>
      <c r="R21" s="99"/>
      <c r="S21" s="100"/>
      <c r="T21" s="100"/>
    </row>
    <row r="22" spans="1:20" ht="15" customHeight="1" x14ac:dyDescent="0.25">
      <c r="A22" s="101">
        <v>2.1</v>
      </c>
      <c r="B22" s="110" t="s">
        <v>115</v>
      </c>
      <c r="C22" s="111" t="s">
        <v>32</v>
      </c>
      <c r="D22" s="32" t="str">
        <f>IF(ISERROR(VLOOKUP(System_1,Nutzungsgrad_ref,2,FALSE))," ",VLOOKUP(System_1,Nutzungsgrad_ref,2,FALSE))</f>
        <v xml:space="preserve"> </v>
      </c>
      <c r="E22" s="125"/>
      <c r="F22" s="32" t="str">
        <f>IF(ISERROR(VLOOKUP(System_1b,Nutzungsgrad_ref,2,FALSE))," ",VLOOKUP(System_1b,Nutzungsgrad_ref,2,FALSE))</f>
        <v xml:space="preserve"> </v>
      </c>
      <c r="G22" s="125"/>
      <c r="H22" s="32" t="str">
        <f>IF(ISERROR(VLOOKUP(System_2,Nutzungsgrad_ref,2,FALSE))," ",VLOOKUP(System_2,Nutzungsgrad_ref,2,FALSE))</f>
        <v xml:space="preserve"> </v>
      </c>
      <c r="I22" s="125"/>
      <c r="J22" s="32" t="str">
        <f>IF(ISERROR(VLOOKUP(System_3,Nutzungsgrad_ref,2,FALSE))," ",VLOOKUP(System_3,Nutzungsgrad_ref,2,FALSE))</f>
        <v xml:space="preserve"> </v>
      </c>
      <c r="K22" s="125"/>
      <c r="L22" s="32" t="str">
        <f>IF(ISERROR(VLOOKUP(System_4,Nutzungsgrad_ref,2,FALSE))," ",VLOOKUP(System_4,Nutzungsgrad_ref,2,FALSE))</f>
        <v xml:space="preserve"> </v>
      </c>
      <c r="M22" s="126"/>
      <c r="O22" s="100" t="s">
        <v>552</v>
      </c>
      <c r="P22" s="100"/>
      <c r="Q22" s="100"/>
      <c r="R22" s="100"/>
      <c r="S22" s="100"/>
      <c r="T22" s="100"/>
    </row>
    <row r="23" spans="1:20" ht="15" customHeight="1" x14ac:dyDescent="0.25">
      <c r="A23" s="101">
        <v>2.2000000000000002</v>
      </c>
      <c r="B23" s="112" t="s">
        <v>33</v>
      </c>
      <c r="C23" s="111" t="s">
        <v>6</v>
      </c>
      <c r="D23" s="311" t="str">
        <f>IF(ISERROR(IF(NEB_manuell&lt;&gt;"",NEB_manuell,NEB)/IF(E22&lt;&gt;"",E22,D22))," ",(IF(NEB_manuell&lt;&gt;"",NEB_manuell,NEB)/IF(E22&lt;&gt;"",E22,D22)))</f>
        <v xml:space="preserve"> </v>
      </c>
      <c r="E23" s="312"/>
      <c r="F23" s="311" t="str">
        <f>IF(ISERROR(IF(NEB_manuell&lt;&gt;"",NEB_manuell,NEB)/IF(G22&lt;&gt;"",G22,F22))," ",(IF(NEB_manuell&lt;&gt;"",NEB_manuell,NEB)/IF(G22&lt;&gt;"",G22,F22)))</f>
        <v xml:space="preserve"> </v>
      </c>
      <c r="G23" s="312"/>
      <c r="H23" s="311" t="str">
        <f>IF(ISERROR(IF(NEB_manuell&lt;&gt;"",NEB_manuell,NEB)/IF(I22&lt;&gt;"",I22,H22))," ",(IF(NEB_manuell&lt;&gt;"",NEB_manuell,NEB)/IF(I22&lt;&gt;"",I22,H22)))</f>
        <v xml:space="preserve"> </v>
      </c>
      <c r="I23" s="312"/>
      <c r="J23" s="311" t="str">
        <f>IF(ISERROR(IF(NEB_manuell&lt;&gt;"",NEB_manuell,NEB)/IF(K22&lt;&gt;"",K22,J22))," ",(IF(NEB_manuell&lt;&gt;"",NEB_manuell,NEB)/IF(K22&lt;&gt;"",K22,J22)))</f>
        <v xml:space="preserve"> </v>
      </c>
      <c r="K23" s="312"/>
      <c r="L23" s="311" t="str">
        <f>IF(ISERROR(IF(NEB_manuell&lt;&gt;"",NEB_manuell,NEB)/IF(M22&lt;&gt;"",M22,L22))," ",(IF(NEB_manuell&lt;&gt;"",NEB_manuell,NEB)/IF(M22&lt;&gt;"",M22,L22)))</f>
        <v xml:space="preserve"> </v>
      </c>
      <c r="M23" s="313"/>
      <c r="O23" s="100"/>
      <c r="P23" s="100"/>
      <c r="Q23" s="100"/>
      <c r="R23" s="100"/>
      <c r="S23" s="100"/>
      <c r="T23" s="100"/>
    </row>
    <row r="24" spans="1:20" x14ac:dyDescent="0.25">
      <c r="A24" s="101">
        <v>2.2999999999999998</v>
      </c>
      <c r="B24" s="110" t="s">
        <v>85</v>
      </c>
      <c r="C24" s="111" t="s">
        <v>34</v>
      </c>
      <c r="D24" s="32" t="str">
        <f>IF(ISERROR(IF(Fernwärme="Ja",VLOOKUP(H18,Preis_Fernwärme_ref,2,FALSE),VLOOKUP(System_1,Energiepreise_ref,4,FALSE))),"",IF(Fernwärme="Ja",VLOOKUP(H18,Preis_Fernwärme_ref,2,FALSE),VLOOKUP(System_1,Energiepreise_ref,4,FALSE)))</f>
        <v/>
      </c>
      <c r="E24" s="125"/>
      <c r="F24" s="341" t="str">
        <f>IF(ISERROR(VLOOKUP(System_1b,Energiepreise_ref,4,FALSE))," ",VLOOKUP(System_1b,Energiepreise_ref,4,FALSE))</f>
        <v xml:space="preserve"> </v>
      </c>
      <c r="G24" s="353"/>
      <c r="H24" s="341" t="str">
        <f>IF(ISERROR(VLOOKUP(System_2,Energiepreise_ref,4,FALSE))," ",VLOOKUP(System_2,Energiepreise_ref,4,FALSE))</f>
        <v xml:space="preserve"> </v>
      </c>
      <c r="I24" s="353"/>
      <c r="J24" s="341" t="str">
        <f>IF(ISERROR(VLOOKUP(System_3,Energiepreise_ref,4,FALSE))," ",VLOOKUP(System_3,Energiepreise_ref,4,FALSE))</f>
        <v xml:space="preserve"> </v>
      </c>
      <c r="K24" s="353"/>
      <c r="L24" s="341" t="str">
        <f>IF(ISERROR(VLOOKUP(System_4,Energiepreise_ref,4,FALSE))," ",VLOOKUP(System_4,Energiepreise_ref,4,FALSE))</f>
        <v xml:space="preserve"> </v>
      </c>
      <c r="M24" s="342"/>
      <c r="O24" s="100" t="s">
        <v>572</v>
      </c>
      <c r="P24" s="100"/>
      <c r="Q24" s="100"/>
      <c r="R24" s="100"/>
      <c r="S24" s="100"/>
      <c r="T24" s="100"/>
    </row>
    <row r="25" spans="1:20" ht="15" customHeight="1" x14ac:dyDescent="0.25">
      <c r="A25" s="101">
        <v>2.4</v>
      </c>
      <c r="B25" s="113" t="s">
        <v>35</v>
      </c>
      <c r="C25" s="111" t="s">
        <v>36</v>
      </c>
      <c r="D25" s="311" t="str">
        <f>IF(ISERROR(SUM(D23*IF(D24&lt;&gt;"",D24,E24))/100)," ",(SUM(D23*IF(D24&lt;&gt;"",D24,E24))/100))</f>
        <v xml:space="preserve"> </v>
      </c>
      <c r="E25" s="312"/>
      <c r="F25" s="311" t="str">
        <f>IF(ISERROR(SUM(F23*F24)/100)," ",(SUM(F23*F24)/100))</f>
        <v xml:space="preserve"> </v>
      </c>
      <c r="G25" s="312"/>
      <c r="H25" s="311" t="str">
        <f>IF(ISERROR(SUM(H23*H24)/100)," ",(SUM(H23*H24)/100))</f>
        <v xml:space="preserve"> </v>
      </c>
      <c r="I25" s="312"/>
      <c r="J25" s="311" t="str">
        <f>IF(ISERROR(SUM(J23*J24)/100)," ",(SUM(J23*J24)/100))</f>
        <v xml:space="preserve"> </v>
      </c>
      <c r="K25" s="312"/>
      <c r="L25" s="311" t="str">
        <f>IF(ISERROR(SUM(L23*L24)/100)," ",(SUM(L23*L24)/100))</f>
        <v xml:space="preserve"> </v>
      </c>
      <c r="M25" s="313"/>
      <c r="O25" s="100"/>
      <c r="P25" s="100"/>
      <c r="Q25" s="100"/>
      <c r="R25" s="100"/>
      <c r="S25" s="100"/>
      <c r="T25" s="100"/>
    </row>
    <row r="26" spans="1:20" ht="15" customHeight="1" x14ac:dyDescent="0.25">
      <c r="A26" s="99">
        <v>3</v>
      </c>
      <c r="B26" s="378" t="s">
        <v>97</v>
      </c>
      <c r="C26" s="379"/>
      <c r="D26" s="379"/>
      <c r="E26" s="379"/>
      <c r="F26" s="379"/>
      <c r="G26" s="379"/>
      <c r="H26" s="379"/>
      <c r="I26" s="379"/>
      <c r="J26" s="379"/>
      <c r="K26" s="379"/>
      <c r="L26" s="379"/>
      <c r="M26" s="380"/>
      <c r="O26" s="100"/>
      <c r="P26" s="100"/>
      <c r="Q26" s="100"/>
      <c r="R26" s="100"/>
      <c r="S26" s="100"/>
      <c r="T26" s="100"/>
    </row>
    <row r="27" spans="1:20" ht="15" customHeight="1" x14ac:dyDescent="0.25">
      <c r="A27" s="101">
        <v>3.1</v>
      </c>
      <c r="B27" s="102" t="s">
        <v>455</v>
      </c>
      <c r="C27" s="111" t="s">
        <v>212</v>
      </c>
      <c r="D27" s="38" t="str">
        <f>IF(D22=" ","",(VLOOKUP(System_1,Investition_ref,2,FALSE)+VLOOKUP(System_1,Investition_ref,3,FALSE))/1000)</f>
        <v/>
      </c>
      <c r="E27" s="127"/>
      <c r="F27" s="38" t="str">
        <f>IF(F22=" ","",(VLOOKUP(System_1b,Investition_ref,2,FALSE)+VLOOKUP(System_1b,Investition_ref,3,FALSE))/1000)</f>
        <v/>
      </c>
      <c r="G27" s="127"/>
      <c r="H27" s="38" t="str">
        <f>IF(H22=" ","",(VLOOKUP(System_2,Investition_ref,2,FALSE)+VLOOKUP(System_2,Investition_ref,3,FALSE))/1000)</f>
        <v/>
      </c>
      <c r="I27" s="127"/>
      <c r="J27" s="38" t="str">
        <f>IF(J22=" ","",(VLOOKUP(System_3,Investition_ref,2,FALSE)+VLOOKUP(System_3,Investition_ref,3,FALSE))/1000)</f>
        <v/>
      </c>
      <c r="K27" s="127"/>
      <c r="L27" s="38" t="str">
        <f>IF(L22=" ","",(VLOOKUP(System_4,Investition_ref,2,FALSE)+VLOOKUP(System_4,Investition_ref,3,FALSE))/1000)</f>
        <v/>
      </c>
      <c r="M27" s="128"/>
      <c r="O27" s="100" t="s">
        <v>216</v>
      </c>
      <c r="P27" s="100"/>
      <c r="Q27" s="100"/>
      <c r="R27" s="100"/>
      <c r="S27" s="100"/>
      <c r="T27" s="100"/>
    </row>
    <row r="28" spans="1:20" ht="15" customHeight="1" x14ac:dyDescent="0.25">
      <c r="A28" s="101">
        <v>3.2</v>
      </c>
      <c r="B28" s="102" t="s">
        <v>456</v>
      </c>
      <c r="C28" s="111" t="s">
        <v>212</v>
      </c>
      <c r="D28" s="38" t="str">
        <f>IF(D22=" ","",VLOOKUP(System_1,Investition_ref,4,FALSE)/1000)</f>
        <v/>
      </c>
      <c r="E28" s="127"/>
      <c r="F28" s="38" t="str">
        <f>IF(F22=" ","",VLOOKUP(System_1b,Investition_ref,4,FALSE)/1000)</f>
        <v/>
      </c>
      <c r="G28" s="127"/>
      <c r="H28" s="38" t="str">
        <f>IF(H22=" ","",VLOOKUP(System_2,Investition_ref,4,FALSE)/1000)</f>
        <v/>
      </c>
      <c r="I28" s="127"/>
      <c r="J28" s="38" t="str">
        <f>IF(J22=" ","",VLOOKUP(System_3,Investition_ref,4,FALSE)/1000)</f>
        <v/>
      </c>
      <c r="K28" s="127"/>
      <c r="L28" s="38" t="str">
        <f>IF(L22=" ","",VLOOKUP(System_4,Investition_ref,4,FALSE)/1000)</f>
        <v/>
      </c>
      <c r="M28" s="128"/>
      <c r="O28" s="100" t="s">
        <v>446</v>
      </c>
      <c r="P28" s="100"/>
      <c r="Q28" s="100"/>
      <c r="R28" s="100"/>
      <c r="S28" s="100"/>
      <c r="T28" s="100"/>
    </row>
    <row r="29" spans="1:20" ht="15" customHeight="1" x14ac:dyDescent="0.25">
      <c r="A29" s="101">
        <v>3.3</v>
      </c>
      <c r="B29" s="102" t="s">
        <v>434</v>
      </c>
      <c r="C29" s="111" t="s">
        <v>212</v>
      </c>
      <c r="D29" s="314" t="str">
        <f>IF(System_1=" "," ",0)</f>
        <v xml:space="preserve"> </v>
      </c>
      <c r="E29" s="315"/>
      <c r="F29" s="314" t="str">
        <f>IF(System_1b=""," ",0)</f>
        <v xml:space="preserve"> </v>
      </c>
      <c r="G29" s="315"/>
      <c r="H29" s="314" t="str">
        <f>IF(System_2=""," ",0)</f>
        <v xml:space="preserve"> </v>
      </c>
      <c r="I29" s="315"/>
      <c r="J29" s="377"/>
      <c r="K29" s="407"/>
      <c r="L29" s="377"/>
      <c r="M29" s="407"/>
      <c r="O29" s="100" t="s">
        <v>433</v>
      </c>
      <c r="P29" s="100"/>
      <c r="Q29" s="100"/>
      <c r="R29" s="100"/>
      <c r="S29" s="100"/>
      <c r="T29" s="100"/>
    </row>
    <row r="30" spans="1:20" ht="15" customHeight="1" x14ac:dyDescent="0.25">
      <c r="A30" s="101">
        <v>3.4</v>
      </c>
      <c r="B30" s="102" t="s">
        <v>482</v>
      </c>
      <c r="C30" s="111" t="s">
        <v>561</v>
      </c>
      <c r="D30" s="314" t="str">
        <f>IF(System_1=" "," ","-")</f>
        <v xml:space="preserve"> </v>
      </c>
      <c r="E30" s="315"/>
      <c r="F30" s="314" t="str">
        <f>IF(System_1b=""," ","-")</f>
        <v xml:space="preserve"> </v>
      </c>
      <c r="G30" s="315"/>
      <c r="H30" s="314" t="str">
        <f>IF(System_2=""," ","-")</f>
        <v xml:space="preserve"> </v>
      </c>
      <c r="I30" s="315"/>
      <c r="J30" s="357"/>
      <c r="K30" s="358"/>
      <c r="L30" s="357"/>
      <c r="M30" s="359"/>
      <c r="O30" s="100" t="s">
        <v>573</v>
      </c>
      <c r="P30" s="100"/>
      <c r="Q30" s="100"/>
      <c r="R30" s="100"/>
      <c r="S30" s="100"/>
      <c r="T30" s="100"/>
    </row>
    <row r="31" spans="1:20" ht="15" customHeight="1" x14ac:dyDescent="0.25">
      <c r="A31" s="101">
        <v>3.5</v>
      </c>
      <c r="B31" s="102" t="s">
        <v>442</v>
      </c>
      <c r="C31" s="111" t="s">
        <v>36</v>
      </c>
      <c r="D31" s="114" t="str">
        <f>IF(ISERROR(VLOOKUP(System_1,Förderbeiträge,6,FALSE))," ",VLOOKUP(System_1,Förderbeiträge,6,FALSE))</f>
        <v xml:space="preserve"> </v>
      </c>
      <c r="E31" s="127"/>
      <c r="F31" s="114" t="str">
        <f>IF(ISERROR(VLOOKUP(System_1b,Förderbeiträge,6,FALSE))," ",VLOOKUP(System_1b,Förderbeiträge,6,FALSE))</f>
        <v xml:space="preserve"> </v>
      </c>
      <c r="G31" s="127"/>
      <c r="H31" s="114" t="str">
        <f>IF(ISERROR(VLOOKUP(System_2,Förderbeiträge,6,FALSE))," ",VLOOKUP(System_2,Förderbeiträge,6,FALSE))</f>
        <v xml:space="preserve"> </v>
      </c>
      <c r="I31" s="127"/>
      <c r="J31" s="311" t="str">
        <f>IF(System_3=" "," ",0)</f>
        <v xml:space="preserve"> </v>
      </c>
      <c r="K31" s="312"/>
      <c r="L31" s="311" t="str">
        <f>IF(System_4="","",0)</f>
        <v/>
      </c>
      <c r="M31" s="313"/>
      <c r="O31" s="100" t="s">
        <v>371</v>
      </c>
      <c r="P31" s="100"/>
      <c r="Q31" s="100"/>
      <c r="R31" s="100"/>
      <c r="S31" s="100"/>
      <c r="T31" s="100"/>
    </row>
    <row r="32" spans="1:20" ht="15" customHeight="1" x14ac:dyDescent="0.25">
      <c r="A32" s="101">
        <v>3.6</v>
      </c>
      <c r="B32" s="102" t="s">
        <v>441</v>
      </c>
      <c r="C32" s="111" t="s">
        <v>36</v>
      </c>
      <c r="D32" s="309"/>
      <c r="E32" s="310"/>
      <c r="F32" s="309"/>
      <c r="G32" s="310"/>
      <c r="H32" s="309"/>
      <c r="I32" s="310"/>
      <c r="J32" s="311" t="str">
        <f>IF(System_3=" "," ",0)</f>
        <v xml:space="preserve"> </v>
      </c>
      <c r="K32" s="312"/>
      <c r="L32" s="311" t="str">
        <f>IF(System_4="","",0)</f>
        <v/>
      </c>
      <c r="M32" s="313"/>
      <c r="O32" s="100" t="s">
        <v>443</v>
      </c>
      <c r="P32" s="100"/>
      <c r="Q32" s="100"/>
      <c r="R32" s="100"/>
      <c r="S32" s="100"/>
      <c r="T32" s="100"/>
    </row>
    <row r="33" spans="1:20" ht="15" customHeight="1" x14ac:dyDescent="0.25">
      <c r="A33" s="101">
        <v>3.7</v>
      </c>
      <c r="B33" s="102" t="s">
        <v>444</v>
      </c>
      <c r="C33" s="111" t="s">
        <v>36</v>
      </c>
      <c r="D33" s="309"/>
      <c r="E33" s="310"/>
      <c r="F33" s="309"/>
      <c r="G33" s="310"/>
      <c r="H33" s="309"/>
      <c r="I33" s="310"/>
      <c r="J33" s="311" t="str">
        <f>IF(System_3=" "," ",0)</f>
        <v xml:space="preserve"> </v>
      </c>
      <c r="K33" s="312"/>
      <c r="L33" s="311" t="str">
        <f>IF(System_4="","",0)</f>
        <v/>
      </c>
      <c r="M33" s="313"/>
      <c r="O33" s="100" t="s">
        <v>445</v>
      </c>
      <c r="P33" s="100"/>
      <c r="Q33" s="100"/>
      <c r="R33" s="100"/>
      <c r="S33" s="100"/>
      <c r="T33" s="100"/>
    </row>
    <row r="34" spans="1:20" ht="15" customHeight="1" x14ac:dyDescent="0.25">
      <c r="A34" s="101">
        <v>3.8</v>
      </c>
      <c r="B34" s="115" t="s">
        <v>86</v>
      </c>
      <c r="C34" s="111" t="s">
        <v>36</v>
      </c>
      <c r="D34" s="311" t="str">
        <f>IF(ISERROR(IF(D22=" "," ",IF(E27="",D27,E27)*1000+IF(E28="",D28,E28)*1000-IF(E31="",SUM(D31:D33),SUM(E31,D32:D33)))),"",IF(D22=" "," ",IF(E27="",D27,E27)*1000+IF(E28="",D28,E28)*1000-IF(E31="",SUM(D31:D33),SUM(E31,D32:D33))))</f>
        <v xml:space="preserve"> </v>
      </c>
      <c r="E34" s="312"/>
      <c r="F34" s="311" t="str">
        <f>IF(ISERROR(IF(F22=" "," ",IF(G27="",F27,G27)*1000+IF(G28="",F28,G28)*1000-IF(G31="",SUM(F31:F33),SUM(G31,F32:F33)))),"",IF(F22=" "," ",IF(G27="",F27,G27)*1000+IF(G28="",F28,G28)*1000-IF(G31="",SUM(F31:F33),SUM(G31,F32:F33))))</f>
        <v xml:space="preserve"> </v>
      </c>
      <c r="G34" s="312"/>
      <c r="H34" s="311" t="str">
        <f>IF(ISERROR(IF(H22=" "," ",IF(I27="",H27,I27)*1000+IF(I28="",H28,I28)*1000-IF(I31="",SUM(H31:H33),SUM(I31,H32:H33)))),"",IF(H22=" "," ",IF(I27="",H27,I27)*1000+IF(I28="",H28,I28)*1000-IF(I31="",SUM(H31:H33),SUM(I31,H32:H33))))</f>
        <v xml:space="preserve"> </v>
      </c>
      <c r="I34" s="312"/>
      <c r="J34" s="311" t="str">
        <f>IF(ISERROR(IF(K27="",J27,K27)*1000+IF(K28="",J28,K28)*1000+J29*1000-J31),"",IF(K27="",J27,K27)*1000+IF(K28="",J28,K28)*1000+J29*1000-J31)</f>
        <v/>
      </c>
      <c r="K34" s="312"/>
      <c r="L34" s="311" t="str">
        <f>IF(ISERROR(IF(M27="",L27,M27)*1000+IF(M28="",L28,M28)*1000+L29*1000-L31),"",IF(M27="",L27,M27)*1000+IF(M28="",L28,M28)*1000+L29*1000-L31)</f>
        <v/>
      </c>
      <c r="M34" s="313"/>
      <c r="O34" s="105"/>
      <c r="P34" s="135"/>
      <c r="Q34" s="100"/>
      <c r="R34" s="100"/>
      <c r="S34" s="100"/>
      <c r="T34" s="100"/>
    </row>
    <row r="35" spans="1:20" ht="15" customHeight="1" x14ac:dyDescent="0.25">
      <c r="A35" s="99">
        <v>4</v>
      </c>
      <c r="B35" s="354" t="s">
        <v>98</v>
      </c>
      <c r="C35" s="355"/>
      <c r="D35" s="355"/>
      <c r="E35" s="355"/>
      <c r="F35" s="355"/>
      <c r="G35" s="355"/>
      <c r="H35" s="355"/>
      <c r="I35" s="355"/>
      <c r="J35" s="355"/>
      <c r="K35" s="355"/>
      <c r="L35" s="355"/>
      <c r="M35" s="356"/>
      <c r="O35" s="100"/>
      <c r="P35" s="100"/>
      <c r="Q35" s="100"/>
      <c r="R35" s="100"/>
      <c r="S35" s="100"/>
      <c r="T35" s="100"/>
    </row>
    <row r="36" spans="1:20" ht="15" customHeight="1" x14ac:dyDescent="0.25">
      <c r="A36" s="101">
        <v>4.0999999999999996</v>
      </c>
      <c r="B36" s="102" t="s">
        <v>372</v>
      </c>
      <c r="C36" s="111" t="s">
        <v>212</v>
      </c>
      <c r="D36" s="38" t="str">
        <f>IF(D22=" ","",VLOOKUP(System_1,Investition_ref,5,FALSE)/1000)</f>
        <v/>
      </c>
      <c r="E36" s="127"/>
      <c r="F36" s="38" t="str">
        <f>IF(F22=" ","",VLOOKUP(System_1b,Investition_ref,5,FALSE)/1000)</f>
        <v/>
      </c>
      <c r="G36" s="127"/>
      <c r="H36" s="38" t="str">
        <f>IF(H22=" ","",VLOOKUP(System_2,Investition_ref,5,FALSE)/1000)</f>
        <v/>
      </c>
      <c r="I36" s="127"/>
      <c r="J36" s="38" t="str">
        <f>IF(J22=" ","",VLOOKUP(System_3,Investition_ref,5,FALSE)/1000)</f>
        <v/>
      </c>
      <c r="K36" s="127"/>
      <c r="L36" s="38" t="str">
        <f>IF(L22=" ","",VLOOKUP(System_4,Investition_ref,5,FALSE)/1000)</f>
        <v/>
      </c>
      <c r="M36" s="128"/>
      <c r="O36" s="100" t="s">
        <v>373</v>
      </c>
      <c r="P36" s="100"/>
      <c r="Q36" s="100"/>
      <c r="R36" s="100"/>
      <c r="S36" s="100"/>
      <c r="T36" s="100"/>
    </row>
    <row r="37" spans="1:20" s="173" customFormat="1" ht="15" customHeight="1" x14ac:dyDescent="0.25">
      <c r="A37" s="101">
        <v>4.2</v>
      </c>
      <c r="B37" s="102" t="s">
        <v>553</v>
      </c>
      <c r="C37" s="111" t="s">
        <v>212</v>
      </c>
      <c r="D37" s="38" t="str">
        <f>IF(System_1=" ","",0)</f>
        <v/>
      </c>
      <c r="E37" s="127"/>
      <c r="F37" s="38" t="str">
        <f>IF(System_1b="","",0)</f>
        <v/>
      </c>
      <c r="G37" s="127"/>
      <c r="H37" s="38" t="str">
        <f>IF(System_2="","",0)</f>
        <v/>
      </c>
      <c r="I37" s="127"/>
      <c r="J37" s="38" t="str">
        <f>IF(System_3=" ","",0)</f>
        <v/>
      </c>
      <c r="K37" s="127"/>
      <c r="L37" s="38" t="str">
        <f>IF(System_4="","",0)</f>
        <v/>
      </c>
      <c r="M37" s="128"/>
      <c r="O37" s="100" t="s">
        <v>574</v>
      </c>
      <c r="P37" s="100"/>
      <c r="Q37" s="100"/>
      <c r="R37" s="100"/>
      <c r="S37" s="100"/>
      <c r="T37" s="100"/>
    </row>
    <row r="38" spans="1:20" ht="15" customHeight="1" x14ac:dyDescent="0.25">
      <c r="A38" s="99">
        <v>5</v>
      </c>
      <c r="B38" s="354" t="s">
        <v>215</v>
      </c>
      <c r="C38" s="355"/>
      <c r="D38" s="355"/>
      <c r="E38" s="355"/>
      <c r="F38" s="355"/>
      <c r="G38" s="355"/>
      <c r="H38" s="355"/>
      <c r="I38" s="355"/>
      <c r="J38" s="355"/>
      <c r="K38" s="355"/>
      <c r="L38" s="355"/>
      <c r="M38" s="356"/>
      <c r="O38" s="100"/>
      <c r="P38" s="100"/>
      <c r="Q38" s="100"/>
      <c r="R38" s="100"/>
      <c r="S38" s="100"/>
      <c r="T38" s="100"/>
    </row>
    <row r="39" spans="1:20" ht="15" customHeight="1" x14ac:dyDescent="0.25">
      <c r="A39" s="101">
        <v>5.0999999999999996</v>
      </c>
      <c r="B39" s="102" t="s">
        <v>116</v>
      </c>
      <c r="C39" s="111" t="s">
        <v>108</v>
      </c>
      <c r="D39" s="33" t="str">
        <f>IF(ISERROR(VLOOKUP(System_1,Raumbedarf_ref,2,FALSE)),"",ROUND(VLOOKUP(System_1,Raumbedarf_ref,2,FALSE),0))</f>
        <v/>
      </c>
      <c r="E39" s="130"/>
      <c r="F39" s="33" t="str">
        <f>IF(ISERROR(VLOOKUP(System_1b,Raumbedarf_ref,2,FALSE)),"",ROUND(VLOOKUP(System_1b,Raumbedarf_ref,2,FALSE),0))</f>
        <v/>
      </c>
      <c r="G39" s="130"/>
      <c r="H39" s="33" t="str">
        <f>IF(ISERROR(VLOOKUP(System_2,Raumbedarf_ref,2,FALSE)),"",ROUND(VLOOKUP(System_2,Raumbedarf_ref,2,FALSE),0))</f>
        <v/>
      </c>
      <c r="I39" s="130"/>
      <c r="J39" s="33" t="str">
        <f>IF(ISERROR(VLOOKUP(System_3,Raumbedarf_ref,2,FALSE)),"",ROUND(VLOOKUP(System_3,Raumbedarf_ref,2,FALSE),0))</f>
        <v/>
      </c>
      <c r="K39" s="130"/>
      <c r="L39" s="33" t="str">
        <f>IF(ISERROR(VLOOKUP(System_4,Raumbedarf_ref,2,FALSE)),"",ROUND(VLOOKUP(System_4,Raumbedarf_ref,2,FALSE),0))</f>
        <v/>
      </c>
      <c r="M39" s="129"/>
      <c r="O39" s="100" t="s">
        <v>575</v>
      </c>
      <c r="P39" s="100"/>
      <c r="Q39" s="100"/>
      <c r="R39" s="100"/>
      <c r="S39" s="100"/>
      <c r="T39" s="100"/>
    </row>
    <row r="40" spans="1:20" ht="15" customHeight="1" x14ac:dyDescent="0.25">
      <c r="A40" s="101">
        <v>5.2</v>
      </c>
      <c r="B40" s="102" t="s">
        <v>37</v>
      </c>
      <c r="C40" s="111" t="s">
        <v>109</v>
      </c>
      <c r="D40" s="311" t="str">
        <f>IF(D27=""," ",Spez_Raumkosten)</f>
        <v xml:space="preserve"> </v>
      </c>
      <c r="E40" s="312"/>
      <c r="F40" s="311" t="str">
        <f>IF(F27=""," ",Spez_Raumkosten)</f>
        <v xml:space="preserve"> </v>
      </c>
      <c r="G40" s="312"/>
      <c r="H40" s="311" t="str">
        <f>IF(H27=""," ",Spez_Raumkosten)</f>
        <v xml:space="preserve"> </v>
      </c>
      <c r="I40" s="312"/>
      <c r="J40" s="311" t="str">
        <f>IF(J27=""," ",Spez_Raumkosten)</f>
        <v xml:space="preserve"> </v>
      </c>
      <c r="K40" s="312"/>
      <c r="L40" s="311" t="str">
        <f>IF(L27=""," ",Spez_Raumkosten)</f>
        <v xml:space="preserve"> </v>
      </c>
      <c r="M40" s="313"/>
      <c r="O40" s="100"/>
      <c r="P40" s="100"/>
      <c r="Q40" s="100"/>
      <c r="R40" s="100"/>
      <c r="S40" s="100"/>
      <c r="T40" s="100"/>
    </row>
    <row r="41" spans="1:20" ht="15" customHeight="1" x14ac:dyDescent="0.25">
      <c r="A41" s="101">
        <v>5.3</v>
      </c>
      <c r="B41" s="115" t="s">
        <v>38</v>
      </c>
      <c r="C41" s="111" t="s">
        <v>36</v>
      </c>
      <c r="D41" s="311" t="str">
        <f>IF(ISERROR(IF(E39&lt;&gt;"",E39*D40,D39*D40))," ",IF(E39&lt;&gt;"",E39*D40,D39*D40))</f>
        <v xml:space="preserve"> </v>
      </c>
      <c r="E41" s="312"/>
      <c r="F41" s="311" t="str">
        <f>IF(ISERROR(IF(G39&lt;&gt;"",G39*F40,F39*F40))," ",IF(G39&lt;&gt;"",G39*F40,F39*F40))</f>
        <v xml:space="preserve"> </v>
      </c>
      <c r="G41" s="312"/>
      <c r="H41" s="311" t="str">
        <f>IF(ISERROR(IF(I39&lt;&gt;"",I39*H40,H39*H40))," ",IF(I39&lt;&gt;"",I39*H40,H39*H40))</f>
        <v xml:space="preserve"> </v>
      </c>
      <c r="I41" s="312"/>
      <c r="J41" s="311" t="str">
        <f>IF(ISERROR(IF(K39&lt;&gt;"",K39*J40,J39*J40))," ",IF(K39&lt;&gt;"",K39*J40,J39*J40))</f>
        <v xml:space="preserve"> </v>
      </c>
      <c r="K41" s="312"/>
      <c r="L41" s="311" t="str">
        <f>IF(ISERROR(IF(M39&lt;&gt;"",M39*L40,L39*L40))," ",IF(M39&lt;&gt;"",M39*L40,L39*L40))</f>
        <v xml:space="preserve"> </v>
      </c>
      <c r="M41" s="313"/>
      <c r="O41" s="100"/>
      <c r="P41" s="100"/>
      <c r="Q41" s="100"/>
      <c r="R41" s="100"/>
      <c r="S41" s="100"/>
      <c r="T41" s="100"/>
    </row>
    <row r="42" spans="1:20" ht="15" customHeight="1" x14ac:dyDescent="0.25">
      <c r="A42" s="99">
        <v>6</v>
      </c>
      <c r="B42" s="354" t="s">
        <v>117</v>
      </c>
      <c r="C42" s="355"/>
      <c r="D42" s="355"/>
      <c r="E42" s="355"/>
      <c r="F42" s="355"/>
      <c r="G42" s="355"/>
      <c r="H42" s="355"/>
      <c r="I42" s="355"/>
      <c r="J42" s="355"/>
      <c r="K42" s="355"/>
      <c r="L42" s="355"/>
      <c r="M42" s="356"/>
      <c r="O42" s="100"/>
      <c r="P42" s="100"/>
      <c r="Q42" s="100"/>
      <c r="R42" s="100"/>
      <c r="S42" s="100"/>
      <c r="T42" s="100"/>
    </row>
    <row r="43" spans="1:20" ht="15" customHeight="1" x14ac:dyDescent="0.25">
      <c r="A43" s="101">
        <v>6.1</v>
      </c>
      <c r="B43" s="102" t="s">
        <v>118</v>
      </c>
      <c r="C43" s="111" t="s">
        <v>36</v>
      </c>
      <c r="D43" s="33" t="str">
        <f>IF(ISERROR(IF(E31="",SUM(D31:E34),SUM(E31,D32:D34))/100*VLOOKUP(System_1,Wartung_Unterhalt_ref,5,FALSE))," ",IF(E31="",SUM(D31:E34),SUM(E31,D32:D34))/100*VLOOKUP(System_1,Wartung_Unterhalt_ref,5,FALSE))</f>
        <v xml:space="preserve"> </v>
      </c>
      <c r="E43" s="130"/>
      <c r="F43" s="33" t="str">
        <f>IF(ISERROR(IF(G31="",SUM(F31:G34),SUM(G31,F32:F34))/100*VLOOKUP(System_1b,Wartung_Unterhalt_ref,5,FALSE))," ",IF(G31="",SUM(F31:G34),SUM(G31,F32:F34))/100*VLOOKUP(System_1b,Wartung_Unterhalt_ref,5,FALSE))</f>
        <v xml:space="preserve"> </v>
      </c>
      <c r="G43" s="130"/>
      <c r="H43" s="33" t="str">
        <f>IF(ISERROR(SUM(H31:I34)/100*VLOOKUP(H20,Wartung_Unterhalt_ref,5,FALSE))," ",SUM(H31:I34)/100*VLOOKUP(H20,Wartung_Unterhalt_ref,5,FALSE))</f>
        <v xml:space="preserve"> </v>
      </c>
      <c r="I43" s="130"/>
      <c r="J43" s="33" t="str">
        <f>IF(ISERROR(SUM(J31:K34)/100*VLOOKUP(J20,Wartung_Unterhalt_ref,5,FALSE))," ",SUM(J31:K34)/100*VLOOKUP(J20,Wartung_Unterhalt_ref,5,FALSE))</f>
        <v xml:space="preserve"> </v>
      </c>
      <c r="K43" s="130"/>
      <c r="L43" s="33" t="str">
        <f>IF(ISERROR(SUM(L31:M34)/100*VLOOKUP(L20,Wartung_Unterhalt_ref,5,FALSE))," ",SUM(L31:M34)/100*VLOOKUP(L20,Wartung_Unterhalt_ref,5,FALSE))</f>
        <v xml:space="preserve"> </v>
      </c>
      <c r="M43" s="131"/>
      <c r="O43" s="100" t="s">
        <v>575</v>
      </c>
      <c r="P43" s="100"/>
      <c r="Q43" s="100"/>
      <c r="R43" s="100"/>
      <c r="S43" s="100"/>
      <c r="T43" s="100"/>
    </row>
    <row r="44" spans="1:20" ht="15" customHeight="1" x14ac:dyDescent="0.25">
      <c r="A44" s="99">
        <v>7</v>
      </c>
      <c r="B44" s="354" t="s">
        <v>40</v>
      </c>
      <c r="C44" s="355"/>
      <c r="D44" s="355"/>
      <c r="E44" s="355"/>
      <c r="F44" s="355"/>
      <c r="G44" s="355"/>
      <c r="H44" s="355"/>
      <c r="I44" s="355"/>
      <c r="J44" s="355"/>
      <c r="K44" s="355"/>
      <c r="L44" s="355"/>
      <c r="M44" s="356"/>
      <c r="O44" s="100"/>
      <c r="P44" s="100"/>
      <c r="Q44" s="100"/>
      <c r="R44" s="100"/>
      <c r="S44" s="100"/>
      <c r="T44" s="100"/>
    </row>
    <row r="45" spans="1:20" ht="15" hidden="1" customHeight="1" x14ac:dyDescent="0.25">
      <c r="A45" s="101">
        <v>7.1</v>
      </c>
      <c r="B45" s="102" t="s">
        <v>41</v>
      </c>
      <c r="C45" s="111" t="s">
        <v>42</v>
      </c>
      <c r="D45" s="375">
        <f>IF(D27=0," ",Berechnungsgrundlagen!$C$104)</f>
        <v>20</v>
      </c>
      <c r="E45" s="376"/>
      <c r="F45" s="116"/>
      <c r="G45" s="116"/>
      <c r="H45" s="375">
        <f>IF(H27=0," ",Berechnungsgrundlagen!$C$104)</f>
        <v>20</v>
      </c>
      <c r="I45" s="376"/>
      <c r="J45" s="311">
        <f>IF(J27=0," ",Berechnungsgrundlagen!$C$104)</f>
        <v>20</v>
      </c>
      <c r="K45" s="312"/>
      <c r="L45" s="311">
        <f>IF(L27=0," ",Berechnungsgrundlagen!$C$104)</f>
        <v>20</v>
      </c>
      <c r="M45" s="313"/>
      <c r="O45" s="105"/>
      <c r="P45" s="100"/>
      <c r="Q45" s="100"/>
      <c r="R45" s="100"/>
      <c r="S45" s="100"/>
      <c r="T45" s="100"/>
    </row>
    <row r="46" spans="1:20" x14ac:dyDescent="0.25">
      <c r="A46" s="101">
        <v>7.1</v>
      </c>
      <c r="B46" s="102" t="s">
        <v>43</v>
      </c>
      <c r="C46" s="111" t="s">
        <v>44</v>
      </c>
      <c r="D46" s="341" t="str">
        <f>IF(D27=""," ",Berechnungsgrundlagen!$C$108*100)</f>
        <v xml:space="preserve"> </v>
      </c>
      <c r="E46" s="353"/>
      <c r="F46" s="341" t="str">
        <f>IF(F27=""," ",Berechnungsgrundlagen!$C$108*100)</f>
        <v xml:space="preserve"> </v>
      </c>
      <c r="G46" s="353"/>
      <c r="H46" s="341" t="str">
        <f>IF(H27=""," ",Berechnungsgrundlagen!$C$108*100)</f>
        <v xml:space="preserve"> </v>
      </c>
      <c r="I46" s="353"/>
      <c r="J46" s="341" t="str">
        <f>IF(J27=""," ",Berechnungsgrundlagen!$C$108*100)</f>
        <v xml:space="preserve"> </v>
      </c>
      <c r="K46" s="353"/>
      <c r="L46" s="341" t="str">
        <f>IF(L27=""," ",Berechnungsgrundlagen!$C$108*100)</f>
        <v xml:space="preserve"> </v>
      </c>
      <c r="M46" s="342"/>
      <c r="O46" s="100"/>
      <c r="P46" s="100"/>
      <c r="Q46" s="100"/>
      <c r="R46" s="100"/>
      <c r="S46" s="100"/>
      <c r="T46" s="100"/>
    </row>
    <row r="47" spans="1:20" hidden="1" x14ac:dyDescent="0.25">
      <c r="A47" s="101">
        <v>7.3</v>
      </c>
      <c r="B47" s="102" t="s">
        <v>45</v>
      </c>
      <c r="C47" s="111" t="s">
        <v>44</v>
      </c>
      <c r="D47" s="375">
        <f>IF(D27=0," ",Berechnungsgrundlagen!$C$109*100)</f>
        <v>0</v>
      </c>
      <c r="E47" s="376"/>
      <c r="F47" s="116"/>
      <c r="G47" s="116"/>
      <c r="H47" s="375">
        <f>IF(H27=0," ",Berechnungsgrundlagen!$C$109*100)</f>
        <v>0</v>
      </c>
      <c r="I47" s="376"/>
      <c r="J47" s="311">
        <f>IF(J27=0," ",Berechnungsgrundlagen!$C$109*100)</f>
        <v>0</v>
      </c>
      <c r="K47" s="312"/>
      <c r="L47" s="311">
        <f>IF(L27=0," ",Berechnungsgrundlagen!$C$109*100)</f>
        <v>0</v>
      </c>
      <c r="M47" s="313"/>
      <c r="O47" s="100"/>
      <c r="P47" s="100"/>
      <c r="Q47" s="100"/>
      <c r="R47" s="100"/>
      <c r="S47" s="100"/>
      <c r="T47" s="100"/>
    </row>
    <row r="48" spans="1:20" hidden="1" x14ac:dyDescent="0.25">
      <c r="A48" s="101">
        <v>7.4</v>
      </c>
      <c r="B48" s="102" t="s">
        <v>46</v>
      </c>
      <c r="C48" s="111" t="s">
        <v>44</v>
      </c>
      <c r="D48" s="375">
        <f>IF(D27=0," ",Berechnungsgrundlagen!$C$111*100)</f>
        <v>0</v>
      </c>
      <c r="E48" s="376"/>
      <c r="F48" s="116"/>
      <c r="G48" s="116"/>
      <c r="H48" s="375">
        <f>IF(H27=0," ",Berechnungsgrundlagen!$C$111*100)</f>
        <v>0</v>
      </c>
      <c r="I48" s="376"/>
      <c r="J48" s="311">
        <f>IF(J27=0," ",Berechnungsgrundlagen!$C$111*100)</f>
        <v>0</v>
      </c>
      <c r="K48" s="312"/>
      <c r="L48" s="311">
        <f>IF(L27=0," ",Berechnungsgrundlagen!$C$111*100)</f>
        <v>0</v>
      </c>
      <c r="M48" s="313"/>
      <c r="O48" s="100"/>
      <c r="P48" s="100"/>
      <c r="Q48" s="100"/>
      <c r="R48" s="100"/>
      <c r="S48" s="100"/>
      <c r="T48" s="100"/>
    </row>
    <row r="49" spans="1:20" ht="15" customHeight="1" x14ac:dyDescent="0.25">
      <c r="A49" s="99">
        <v>8</v>
      </c>
      <c r="B49" s="354" t="s">
        <v>643</v>
      </c>
      <c r="C49" s="355"/>
      <c r="D49" s="355"/>
      <c r="E49" s="355"/>
      <c r="F49" s="355"/>
      <c r="G49" s="355"/>
      <c r="H49" s="355"/>
      <c r="I49" s="355"/>
      <c r="J49" s="355"/>
      <c r="K49" s="355"/>
      <c r="L49" s="355"/>
      <c r="M49" s="356"/>
      <c r="O49" s="100"/>
      <c r="P49" s="100"/>
      <c r="Q49" s="100"/>
      <c r="R49" s="100"/>
      <c r="S49" s="100"/>
      <c r="T49" s="100"/>
    </row>
    <row r="50" spans="1:20" ht="15" customHeight="1" x14ac:dyDescent="0.25">
      <c r="A50" s="101">
        <v>8.1</v>
      </c>
      <c r="B50" s="102" t="s">
        <v>47</v>
      </c>
      <c r="C50" s="111" t="s">
        <v>36</v>
      </c>
      <c r="D50" s="311" t="str">
        <f>IF(D27=0," ",IF(ISERROR(SUM(D25*Berechnungsgrundlagen!$C$116))," ",(SUM(D25*Berechnungsgrundlagen!$C$116))))</f>
        <v xml:space="preserve"> </v>
      </c>
      <c r="E50" s="312"/>
      <c r="F50" s="311" t="str">
        <f>IF(F27=0," ",IF(ISERROR(SUM(F25*Berechnungsgrundlagen!$C$116))," ",(SUM(F25*Berechnungsgrundlagen!$C$116))))</f>
        <v xml:space="preserve"> </v>
      </c>
      <c r="G50" s="312"/>
      <c r="H50" s="311" t="str">
        <f>IF(H27=0," ",IF(ISERROR(SUM(H25*Berechnungsgrundlagen!$C$116))," ",(SUM(H25*Berechnungsgrundlagen!$C$116))))</f>
        <v xml:space="preserve"> </v>
      </c>
      <c r="I50" s="312"/>
      <c r="J50" s="311" t="str">
        <f>IF(J27=0," ",IF(ISERROR(SUM(J25*Berechnungsgrundlagen!$C$116))," ",(SUM(J25*Berechnungsgrundlagen!$C$116))))</f>
        <v xml:space="preserve"> </v>
      </c>
      <c r="K50" s="312"/>
      <c r="L50" s="311" t="str">
        <f>IF(L27=0," ",IF(ISERROR(SUM(L25*Berechnungsgrundlagen!$C$116))," ",(SUM(L25*Berechnungsgrundlagen!$C$116))))</f>
        <v xml:space="preserve"> </v>
      </c>
      <c r="M50" s="313"/>
      <c r="O50" s="100"/>
      <c r="P50" s="100"/>
      <c r="Q50" s="100"/>
      <c r="R50" s="100"/>
      <c r="S50" s="100"/>
      <c r="T50" s="100"/>
    </row>
    <row r="51" spans="1:20" x14ac:dyDescent="0.25">
      <c r="A51" s="101">
        <v>8.1999999999999993</v>
      </c>
      <c r="B51" s="102" t="s">
        <v>39</v>
      </c>
      <c r="C51" s="111" t="s">
        <v>36</v>
      </c>
      <c r="D51" s="311" t="str">
        <f>IF(ISERROR(IF(E43&lt;&gt;"",E43,D43)*Berechnungsgrundlagen!$C$120)," ",IF(E43&lt;&gt;"",E43,D43)*Berechnungsgrundlagen!$C$120)</f>
        <v xml:space="preserve"> </v>
      </c>
      <c r="E51" s="312"/>
      <c r="F51" s="311" t="str">
        <f>IF(ISERROR(IF(G43&lt;&gt;"",G43,F43)*Berechnungsgrundlagen!$C$120)," ",IF(G43&lt;&gt;"",G43,F43)*Berechnungsgrundlagen!$C$120)</f>
        <v xml:space="preserve"> </v>
      </c>
      <c r="G51" s="312"/>
      <c r="H51" s="311" t="str">
        <f>IF(ISERROR(IF(I43&lt;&gt;"",I43,H43)*Berechnungsgrundlagen!$C$120)," ",IF(I43&lt;&gt;"",I43,H43)*Berechnungsgrundlagen!$C$120)</f>
        <v xml:space="preserve"> </v>
      </c>
      <c r="I51" s="312"/>
      <c r="J51" s="311" t="str">
        <f>IF(ISERROR(IF(K43&lt;&gt;"",K43,J43)*Berechnungsgrundlagen!$C$120)," ",IF(K43&lt;&gt;"",K43,J43)*Berechnungsgrundlagen!$C$120)</f>
        <v xml:space="preserve"> </v>
      </c>
      <c r="K51" s="312"/>
      <c r="L51" s="311" t="str">
        <f>IF(ISERROR(IF(M43&lt;&gt;"",M43,L43)*Berechnungsgrundlagen!$C$120)," ",IF(M43&lt;&gt;"",M43,L43)*Berechnungsgrundlagen!$C$120)</f>
        <v xml:space="preserve"> </v>
      </c>
      <c r="M51" s="313"/>
      <c r="O51" s="100"/>
      <c r="P51" s="100"/>
      <c r="Q51" s="100"/>
      <c r="R51" s="100"/>
      <c r="S51" s="100"/>
      <c r="T51" s="100"/>
    </row>
    <row r="52" spans="1:20" x14ac:dyDescent="0.25">
      <c r="A52" s="101">
        <v>8.3000000000000007</v>
      </c>
      <c r="B52" s="102" t="s">
        <v>48</v>
      </c>
      <c r="C52" s="111" t="s">
        <v>36</v>
      </c>
      <c r="D52" s="311" t="str">
        <f>IF(Berechnungsgrundlagen!C131=0," ",Berechnungsgrundlagen!C131)</f>
        <v xml:space="preserve"> </v>
      </c>
      <c r="E52" s="312"/>
      <c r="F52" s="311" t="str">
        <f>IF(Berechnungsgrundlagen!D131=0," ",Berechnungsgrundlagen!D131)</f>
        <v xml:space="preserve"> </v>
      </c>
      <c r="G52" s="312"/>
      <c r="H52" s="311" t="str">
        <f>IF(Berechnungsgrundlagen!E131=0," ",Berechnungsgrundlagen!E131)</f>
        <v xml:space="preserve"> </v>
      </c>
      <c r="I52" s="312"/>
      <c r="J52" s="311" t="str">
        <f>IF(Berechnungsgrundlagen!F131=0," ",Berechnungsgrundlagen!F131)</f>
        <v xml:space="preserve"> </v>
      </c>
      <c r="K52" s="312"/>
      <c r="L52" s="311" t="str">
        <f>IF(Berechnungsgrundlagen!G131=0," ",Berechnungsgrundlagen!G131)</f>
        <v xml:space="preserve"> </v>
      </c>
      <c r="M52" s="313"/>
      <c r="O52" s="100"/>
      <c r="P52" s="100"/>
      <c r="Q52" s="100"/>
      <c r="R52" s="100"/>
      <c r="S52" s="100"/>
      <c r="T52" s="100"/>
    </row>
    <row r="53" spans="1:20" x14ac:dyDescent="0.25">
      <c r="A53" s="101">
        <v>8.4</v>
      </c>
      <c r="B53" s="117" t="s">
        <v>49</v>
      </c>
      <c r="C53" s="118" t="s">
        <v>36</v>
      </c>
      <c r="D53" s="345" t="str">
        <f>IF(ISERROR(SUM(D50:D52))," ",IF(SUM(D50:D52)=0," ",SUM(D50:D52)))</f>
        <v xml:space="preserve"> </v>
      </c>
      <c r="E53" s="346"/>
      <c r="F53" s="345" t="str">
        <f>IF(ISERROR(SUM(F50:F52))," ",IF(SUM(F50:F52)=0," ",SUM(F50:F52)))</f>
        <v xml:space="preserve"> </v>
      </c>
      <c r="G53" s="346"/>
      <c r="H53" s="345" t="str">
        <f>IF(ISERROR(SUM(H50:H52))," ",IF(SUM(H50:H52)=0," ",SUM(H50:H52)))</f>
        <v xml:space="preserve"> </v>
      </c>
      <c r="I53" s="346"/>
      <c r="J53" s="345" t="str">
        <f>IF(ISERROR(SUM(J50:J52))," ",IF(SUM(J50:J52)=0," ",SUM(J50:J52)))</f>
        <v xml:space="preserve"> </v>
      </c>
      <c r="K53" s="346"/>
      <c r="L53" s="345" t="str">
        <f>IF(ISERROR(SUM(L50:L52))," ",IF(SUM(L50:L52)=0," ",SUM(L50:L52)))</f>
        <v xml:space="preserve"> </v>
      </c>
      <c r="M53" s="362"/>
      <c r="O53" s="105"/>
      <c r="P53" s="100"/>
      <c r="Q53" s="100"/>
      <c r="R53" s="100"/>
      <c r="S53" s="100"/>
      <c r="T53" s="100"/>
    </row>
    <row r="54" spans="1:20" x14ac:dyDescent="0.25">
      <c r="A54" s="30"/>
      <c r="B54" s="30"/>
      <c r="C54" s="119"/>
      <c r="D54" s="119"/>
      <c r="E54" s="119"/>
      <c r="F54" s="119"/>
      <c r="G54" s="119"/>
      <c r="H54" s="119"/>
      <c r="I54" s="119"/>
      <c r="J54" s="119"/>
      <c r="K54" s="119"/>
      <c r="L54" s="119"/>
      <c r="M54" s="120"/>
      <c r="O54" s="100"/>
      <c r="P54" s="100"/>
      <c r="Q54" s="100"/>
      <c r="R54" s="100"/>
      <c r="S54" s="100"/>
      <c r="T54" s="100"/>
    </row>
    <row r="55" spans="1:20" x14ac:dyDescent="0.25">
      <c r="A55" s="99">
        <v>9</v>
      </c>
      <c r="B55" s="363" t="s">
        <v>50</v>
      </c>
      <c r="C55" s="364"/>
      <c r="D55" s="364"/>
      <c r="E55" s="364"/>
      <c r="F55" s="364"/>
      <c r="G55" s="364"/>
      <c r="H55" s="364"/>
      <c r="I55" s="364"/>
      <c r="J55" s="364"/>
      <c r="K55" s="364"/>
      <c r="L55" s="364"/>
      <c r="M55" s="365"/>
      <c r="O55" s="100"/>
      <c r="P55" s="100"/>
      <c r="Q55" s="100"/>
      <c r="R55" s="100"/>
      <c r="S55" s="100"/>
      <c r="T55" s="100"/>
    </row>
    <row r="56" spans="1:20" ht="15" customHeight="1" x14ac:dyDescent="0.25">
      <c r="A56" s="101">
        <v>9.1</v>
      </c>
      <c r="B56" s="121" t="s">
        <v>51</v>
      </c>
      <c r="C56" s="122" t="s">
        <v>34</v>
      </c>
      <c r="D56" s="347" t="str">
        <f>IF(ISERROR(D53/IF(NEB_manuell&lt;&gt;"",NEB_manuell,NEB)*100),"",D53/IF(NEB_manuell&lt;&gt;"",NEB_manuell,NEB)*100)</f>
        <v/>
      </c>
      <c r="E56" s="348"/>
      <c r="F56" s="347" t="str">
        <f>IF(ISERROR(F53/IF(NEB_manuell&lt;&gt;"",NEB_manuell,NEB)*100),"",F53/IF(NEB_manuell&lt;&gt;"",NEB_manuell,NEB)*100)</f>
        <v/>
      </c>
      <c r="G56" s="348"/>
      <c r="H56" s="347" t="str">
        <f>IF(ISERROR(H53/IF(NEB_manuell&lt;&gt;"",NEB_manuell,NEB)*100),"",H53/IF(NEB_manuell&lt;&gt;"",NEB_manuell,NEB)*100)</f>
        <v/>
      </c>
      <c r="I56" s="348"/>
      <c r="J56" s="347" t="str">
        <f>IF(ISERROR(J53/IF(NEB_manuell&lt;&gt;"",NEB_manuell,NEB)*100),"",J53/IF(NEB_manuell&lt;&gt;"",NEB_manuell,NEB)*100)</f>
        <v/>
      </c>
      <c r="K56" s="348"/>
      <c r="L56" s="366" t="str">
        <f>IF(ISERROR(L53/IF(NEB_manuell&lt;&gt;"",NEB_manuell,NEB)*100),"",L53/IF(NEB_manuell&lt;&gt;"",NEB_manuell,NEB)*100)</f>
        <v/>
      </c>
      <c r="M56" s="367"/>
      <c r="O56" s="100"/>
      <c r="P56" s="100"/>
      <c r="Q56" s="100"/>
      <c r="R56" s="100"/>
      <c r="S56" s="100"/>
      <c r="T56" s="100"/>
    </row>
    <row r="57" spans="1:20" ht="15" customHeight="1" x14ac:dyDescent="0.25">
      <c r="A57" s="101">
        <v>9.1999999999999993</v>
      </c>
      <c r="B57" s="102" t="s">
        <v>52</v>
      </c>
      <c r="C57" s="111" t="s">
        <v>44</v>
      </c>
      <c r="D57" s="368" t="str">
        <f>IF(ISERROR(IF(AND($J$57=100%,D34&gt;0),D53/$J$53,IF(D34&gt;0,D53/$L$53," ")))," ",IF(AND($J$57=100%,D34&gt;0),D53/$J$53,IF(D34&gt;0,D53/$L$53," ")))</f>
        <v xml:space="preserve"> </v>
      </c>
      <c r="E57" s="370"/>
      <c r="F57" s="368" t="str">
        <f>IF(ISERROR(IF(AND($J$57=100%,F34&gt;0),F53/$J$53,IF(F34&gt;0,F53/$L$53," ")))," ",IF(AND($J$57=100%,F34&gt;0),F53/$J$53,IF(F34&gt;0,F53/$L$53," ")))</f>
        <v xml:space="preserve"> </v>
      </c>
      <c r="G57" s="370"/>
      <c r="H57" s="368" t="str">
        <f>IF(ISERROR(IF(AND($J$57=100%,H34&gt;0),H53/$J$53,IF(H34&gt;0,H53/$L$53," ")))," ",IF(AND($J$57=100%,H34&gt;0),H53/$J$53,IF(H34&gt;0,H53/$L$53," ")))</f>
        <v xml:space="preserve"> </v>
      </c>
      <c r="I57" s="370"/>
      <c r="J57" s="368" t="str">
        <f>IF(J20=" "," ",IF(J34=0," ",IF(OR(L20=0,J34=0),1,IF(AND(L53&lt;J53,L34=0),1,IF(AND(J53&gt;L53,L34&gt;0),J53/L53,1)))))</f>
        <v xml:space="preserve"> </v>
      </c>
      <c r="K57" s="370"/>
      <c r="L57" s="368" t="str">
        <f>IF(ISERROR(IF(L20=0," ",IF(L34=0," ",IF(OR(J34=0),1,IF(AND(L53&gt;J53,L34&gt;0),L53/J53,1)))))," ",IF(L20=0," ",IF(L34=0," ",IF(OR(J34=0),1,IF(AND(L53&gt;J53,L34&gt;0),L53/J53,1)))))</f>
        <v xml:space="preserve"> </v>
      </c>
      <c r="M57" s="369"/>
      <c r="O57" s="100"/>
      <c r="P57" s="100"/>
      <c r="Q57" s="100"/>
      <c r="R57" s="100"/>
      <c r="S57" s="100"/>
      <c r="T57" s="100"/>
    </row>
    <row r="58" spans="1:20" ht="15" customHeight="1" x14ac:dyDescent="0.25">
      <c r="A58" s="101">
        <v>9.3000000000000007</v>
      </c>
      <c r="B58" s="372" t="s">
        <v>53</v>
      </c>
      <c r="C58" s="373"/>
      <c r="D58" s="373"/>
      <c r="E58" s="373"/>
      <c r="F58" s="373"/>
      <c r="G58" s="373"/>
      <c r="H58" s="373"/>
      <c r="I58" s="374"/>
      <c r="J58" s="360" t="str">
        <f>IF(J57=" "," ",IF(OR(D57&lt;=105%,F57&lt;=105%,H57&lt;=105%),"NEIN",IF(AND(H57&gt;105%,D57&gt;105%),"JA","NEIN")))</f>
        <v xml:space="preserve"> </v>
      </c>
      <c r="K58" s="371"/>
      <c r="L58" s="360" t="str">
        <f>IF(L57=" "," ",IF(OR(D57&lt;=105%,F57&lt;=105%,H57&lt;=105%),"NEIN",IF(AND(H57&gt;105%,F57&gt;105%,D57&gt;105%),"JA","NEIN")))</f>
        <v xml:space="preserve"> </v>
      </c>
      <c r="M58" s="361"/>
      <c r="O58" s="100"/>
      <c r="P58" s="100"/>
      <c r="Q58" s="100"/>
      <c r="R58" s="100"/>
      <c r="S58" s="100"/>
      <c r="T58" s="100"/>
    </row>
    <row r="59" spans="1:20" x14ac:dyDescent="0.25">
      <c r="A59" s="30"/>
      <c r="B59" s="30"/>
      <c r="C59" s="30"/>
      <c r="D59" s="30"/>
      <c r="E59" s="30"/>
      <c r="F59" s="30"/>
      <c r="G59" s="30"/>
      <c r="H59" s="30"/>
      <c r="I59" s="30"/>
      <c r="J59" s="30"/>
      <c r="K59" s="30"/>
      <c r="L59" s="30"/>
      <c r="M59" s="30"/>
      <c r="O59" s="100"/>
      <c r="P59" s="100"/>
      <c r="Q59" s="100"/>
      <c r="R59" s="100"/>
      <c r="S59" s="100"/>
      <c r="T59" s="100"/>
    </row>
    <row r="60" spans="1:20" x14ac:dyDescent="0.25">
      <c r="A60" s="30"/>
      <c r="B60" s="99" t="s">
        <v>260</v>
      </c>
      <c r="C60" s="99" t="s">
        <v>263</v>
      </c>
      <c r="D60" s="100"/>
      <c r="E60" s="100"/>
      <c r="F60" s="100"/>
      <c r="G60" s="100"/>
      <c r="H60" s="99" t="s">
        <v>264</v>
      </c>
      <c r="I60" s="100"/>
      <c r="J60" s="99"/>
      <c r="K60" s="99"/>
      <c r="L60" s="30"/>
      <c r="M60" s="30"/>
      <c r="O60" s="100"/>
      <c r="P60" s="100"/>
      <c r="Q60" s="100"/>
      <c r="R60" s="100"/>
      <c r="S60" s="100"/>
      <c r="T60" s="100"/>
    </row>
    <row r="61" spans="1:20" x14ac:dyDescent="0.25">
      <c r="A61" s="30"/>
      <c r="B61" s="100"/>
      <c r="C61" s="132"/>
      <c r="D61" s="132"/>
      <c r="E61" s="132"/>
      <c r="F61" s="132"/>
      <c r="G61" s="132"/>
      <c r="H61" s="132"/>
      <c r="I61" s="132"/>
      <c r="J61" s="132"/>
      <c r="K61" s="132"/>
      <c r="L61" s="132"/>
      <c r="M61" s="132"/>
      <c r="O61" s="100"/>
      <c r="P61" s="100"/>
      <c r="Q61" s="100"/>
      <c r="R61" s="123"/>
      <c r="S61" s="100"/>
      <c r="T61" s="100"/>
    </row>
    <row r="62" spans="1:20" ht="22.5" customHeight="1" x14ac:dyDescent="0.25">
      <c r="A62" s="30"/>
      <c r="B62" s="100" t="s">
        <v>261</v>
      </c>
      <c r="C62" s="133"/>
      <c r="D62" s="133"/>
      <c r="E62" s="133"/>
      <c r="F62" s="133"/>
      <c r="G62" s="132"/>
      <c r="H62" s="133"/>
      <c r="I62" s="133"/>
      <c r="J62" s="133"/>
      <c r="K62" s="133"/>
      <c r="L62" s="133"/>
      <c r="M62" s="132"/>
      <c r="O62" s="100"/>
      <c r="P62" s="100"/>
      <c r="Q62" s="100"/>
      <c r="R62" s="100"/>
      <c r="S62" s="100"/>
      <c r="T62" s="100"/>
    </row>
    <row r="63" spans="1:20" x14ac:dyDescent="0.25">
      <c r="A63" s="30"/>
      <c r="B63" s="100"/>
      <c r="C63" s="132"/>
      <c r="D63" s="132"/>
      <c r="E63" s="132"/>
      <c r="F63" s="132"/>
      <c r="G63" s="132"/>
      <c r="H63" s="132"/>
      <c r="I63" s="132"/>
      <c r="J63" s="132"/>
      <c r="K63" s="132"/>
      <c r="L63" s="132"/>
      <c r="M63" s="132"/>
      <c r="O63" s="100"/>
      <c r="P63" s="100"/>
      <c r="Q63" s="100"/>
      <c r="R63" s="100"/>
      <c r="S63" s="100"/>
      <c r="T63" s="100"/>
    </row>
    <row r="64" spans="1:20" x14ac:dyDescent="0.25">
      <c r="A64" s="30"/>
      <c r="B64" s="30" t="s">
        <v>262</v>
      </c>
      <c r="C64" s="133"/>
      <c r="D64" s="133"/>
      <c r="E64" s="133"/>
      <c r="F64" s="133"/>
      <c r="G64" s="132"/>
      <c r="H64" s="133"/>
      <c r="I64" s="133"/>
      <c r="J64" s="133"/>
      <c r="K64" s="133"/>
      <c r="L64" s="133"/>
      <c r="M64" s="132"/>
      <c r="O64" s="100"/>
      <c r="P64" s="100"/>
      <c r="Q64" s="100"/>
      <c r="R64" s="100"/>
      <c r="S64" s="100"/>
      <c r="T64" s="100"/>
    </row>
    <row r="65" spans="1:20" x14ac:dyDescent="0.25">
      <c r="A65" s="30"/>
      <c r="C65" s="134"/>
      <c r="D65" s="134"/>
      <c r="E65" s="134"/>
      <c r="F65" s="134"/>
      <c r="G65" s="132"/>
      <c r="H65" s="134"/>
      <c r="I65" s="134"/>
      <c r="J65" s="134"/>
      <c r="K65" s="134"/>
      <c r="L65" s="134"/>
      <c r="M65" s="132"/>
      <c r="O65" s="100"/>
      <c r="P65" s="100"/>
      <c r="Q65" s="100"/>
      <c r="R65" s="100"/>
      <c r="S65" s="100"/>
      <c r="T65" s="100"/>
    </row>
    <row r="66" spans="1:20" s="30" customFormat="1" ht="12" x14ac:dyDescent="0.25"/>
    <row r="67" spans="1:20" s="30" customFormat="1" ht="12" x14ac:dyDescent="0.25">
      <c r="B67" s="124">
        <f ca="1">TODAY()</f>
        <v>45391</v>
      </c>
    </row>
    <row r="68" spans="1:20" s="30" customFormat="1" ht="12" x14ac:dyDescent="0.25"/>
    <row r="69" spans="1:20" s="12" customFormat="1" ht="12" x14ac:dyDescent="0.25"/>
    <row r="70" spans="1:20" s="30" customFormat="1" ht="12" x14ac:dyDescent="0.25"/>
    <row r="71" spans="1:20" s="30" customFormat="1" ht="12" x14ac:dyDescent="0.25"/>
    <row r="72" spans="1:20" s="30" customFormat="1" ht="12" x14ac:dyDescent="0.25"/>
    <row r="73" spans="1:20" s="30" customFormat="1" ht="12" x14ac:dyDescent="0.25"/>
    <row r="74" spans="1:20" s="30" customFormat="1" ht="12" x14ac:dyDescent="0.25"/>
    <row r="75" spans="1:20" s="30" customFormat="1" ht="12" x14ac:dyDescent="0.25"/>
    <row r="76" spans="1:20" s="30" customFormat="1" ht="12" x14ac:dyDescent="0.25"/>
    <row r="77" spans="1:20" s="30" customFormat="1" ht="12" x14ac:dyDescent="0.25"/>
    <row r="78" spans="1:20" s="30" customFormat="1" ht="12" x14ac:dyDescent="0.25"/>
    <row r="79" spans="1:20" s="30" customFormat="1" ht="12" x14ac:dyDescent="0.25"/>
    <row r="80" spans="1:20" s="30" customFormat="1" ht="12" x14ac:dyDescent="0.25"/>
    <row r="81" s="30" customFormat="1" ht="12" x14ac:dyDescent="0.25"/>
    <row r="82" s="30" customFormat="1" ht="12" x14ac:dyDescent="0.25"/>
    <row r="83" s="30" customFormat="1" ht="12" x14ac:dyDescent="0.25"/>
    <row r="84" s="30" customFormat="1" ht="12" x14ac:dyDescent="0.25"/>
    <row r="85" s="30" customFormat="1" ht="12" x14ac:dyDescent="0.25"/>
    <row r="86" s="30" customFormat="1" ht="12" x14ac:dyDescent="0.25"/>
    <row r="87" s="30" customFormat="1" ht="12" x14ac:dyDescent="0.25"/>
    <row r="88" s="30" customFormat="1" ht="12" x14ac:dyDescent="0.25"/>
    <row r="89" s="30" customFormat="1" ht="12" x14ac:dyDescent="0.25"/>
    <row r="90" s="30" customFormat="1" ht="12" x14ac:dyDescent="0.25"/>
    <row r="91" s="30" customFormat="1" ht="12" x14ac:dyDescent="0.25"/>
    <row r="92" s="30" customFormat="1" ht="12" x14ac:dyDescent="0.25"/>
    <row r="93" s="30" customFormat="1" ht="12" x14ac:dyDescent="0.25"/>
    <row r="94" s="30" customFormat="1" ht="12" x14ac:dyDescent="0.25"/>
    <row r="95" s="30" customFormat="1" ht="12" x14ac:dyDescent="0.25"/>
    <row r="96" s="30" customFormat="1" ht="12" x14ac:dyDescent="0.25"/>
    <row r="97" s="30" customFormat="1" ht="12" x14ac:dyDescent="0.25"/>
    <row r="98" s="30" customFormat="1" ht="12" x14ac:dyDescent="0.25"/>
    <row r="99" s="30" customFormat="1" ht="12" x14ac:dyDescent="0.25"/>
    <row r="100" s="30" customFormat="1" ht="12" x14ac:dyDescent="0.25"/>
    <row r="101" s="30" customFormat="1" ht="12" x14ac:dyDescent="0.25"/>
    <row r="102" s="30" customFormat="1" ht="12" x14ac:dyDescent="0.25"/>
    <row r="103" s="30" customFormat="1" ht="12" x14ac:dyDescent="0.25"/>
    <row r="104" s="30" customFormat="1" ht="12" x14ac:dyDescent="0.25"/>
    <row r="105" s="30" customFormat="1" ht="12" x14ac:dyDescent="0.25"/>
    <row r="106" s="30" customFormat="1" ht="12" x14ac:dyDescent="0.25"/>
    <row r="107" s="30" customFormat="1" ht="12" x14ac:dyDescent="0.25"/>
    <row r="108" s="30" customFormat="1" ht="12" x14ac:dyDescent="0.25"/>
    <row r="109" s="30" customFormat="1" ht="12" x14ac:dyDescent="0.25"/>
    <row r="110" s="30" customFormat="1" ht="12" x14ac:dyDescent="0.25"/>
    <row r="111" s="30" customFormat="1" ht="12" x14ac:dyDescent="0.25"/>
    <row r="112" s="30" customFormat="1" ht="12" x14ac:dyDescent="0.25"/>
    <row r="113" s="30" customFormat="1" ht="12" x14ac:dyDescent="0.25"/>
    <row r="114" s="30" customFormat="1" ht="12" x14ac:dyDescent="0.25"/>
    <row r="115" s="30" customFormat="1" ht="12" x14ac:dyDescent="0.25"/>
    <row r="116" s="30" customFormat="1" ht="12" x14ac:dyDescent="0.25"/>
    <row r="117" s="30" customFormat="1" ht="12" x14ac:dyDescent="0.25"/>
    <row r="118" s="12" customFormat="1" ht="12" x14ac:dyDescent="0.25"/>
    <row r="119" s="30" customFormat="1" ht="12" x14ac:dyDescent="0.25"/>
    <row r="120" s="30" customFormat="1" ht="12" x14ac:dyDescent="0.25"/>
    <row r="121" s="30" customFormat="1" ht="12" x14ac:dyDescent="0.25"/>
    <row r="122" s="30" customFormat="1" ht="12" x14ac:dyDescent="0.25"/>
    <row r="123" s="30" customFormat="1" ht="12" x14ac:dyDescent="0.25"/>
    <row r="124" s="30" customFormat="1" ht="12" x14ac:dyDescent="0.25"/>
    <row r="125" s="30" customFormat="1" ht="12" x14ac:dyDescent="0.25"/>
    <row r="126" s="30" customFormat="1" ht="12" x14ac:dyDescent="0.25"/>
    <row r="127" s="30" customFormat="1" ht="12" x14ac:dyDescent="0.25"/>
    <row r="128" s="30" customFormat="1" ht="12" x14ac:dyDescent="0.25"/>
    <row r="129" s="30" customFormat="1" ht="12" x14ac:dyDescent="0.25"/>
    <row r="130" s="30" customFormat="1" ht="12" x14ac:dyDescent="0.25"/>
    <row r="131" s="30" customFormat="1" ht="12" x14ac:dyDescent="0.25"/>
    <row r="132" s="30" customFormat="1" ht="12" x14ac:dyDescent="0.25"/>
    <row r="133" s="30" customFormat="1" ht="12" x14ac:dyDescent="0.25"/>
    <row r="134" s="30" customFormat="1" ht="12" x14ac:dyDescent="0.25"/>
    <row r="135" s="30" customFormat="1" ht="12" x14ac:dyDescent="0.25"/>
    <row r="136" s="30" customFormat="1" ht="12" x14ac:dyDescent="0.25"/>
    <row r="137" s="30" customFormat="1" ht="12" x14ac:dyDescent="0.25"/>
    <row r="138" s="30" customFormat="1" ht="12" x14ac:dyDescent="0.25"/>
    <row r="139" s="30" customFormat="1" ht="12" x14ac:dyDescent="0.25"/>
    <row r="237" spans="1:15" x14ac:dyDescent="0.25">
      <c r="A237" s="30"/>
      <c r="B237" s="30"/>
      <c r="C237" s="30"/>
      <c r="D237" s="30"/>
      <c r="E237" s="30"/>
      <c r="F237" s="30"/>
      <c r="G237" s="30"/>
      <c r="H237" s="30"/>
      <c r="I237" s="30"/>
      <c r="J237" s="30"/>
      <c r="K237" s="30"/>
      <c r="L237" s="30"/>
      <c r="M237" s="30"/>
      <c r="N237" s="30"/>
      <c r="O237" s="30"/>
    </row>
    <row r="238" spans="1:15" x14ac:dyDescent="0.25">
      <c r="A238" s="30"/>
      <c r="B238" s="30"/>
      <c r="C238" s="30"/>
      <c r="D238" s="30"/>
      <c r="E238" s="30"/>
      <c r="F238" s="30"/>
      <c r="G238" s="30"/>
      <c r="H238" s="30"/>
      <c r="I238" s="30"/>
      <c r="J238" s="30"/>
      <c r="K238" s="30"/>
      <c r="L238" s="30"/>
      <c r="M238" s="30"/>
      <c r="N238" s="30"/>
      <c r="O238" s="30"/>
    </row>
    <row r="239" spans="1:15" x14ac:dyDescent="0.25">
      <c r="A239" s="30"/>
      <c r="B239" s="30"/>
      <c r="C239" s="30"/>
      <c r="D239" s="30"/>
      <c r="E239" s="30"/>
      <c r="F239" s="30"/>
      <c r="G239" s="30"/>
      <c r="H239" s="30"/>
      <c r="I239" s="30"/>
      <c r="J239" s="30"/>
      <c r="K239" s="30"/>
      <c r="L239" s="30"/>
      <c r="M239" s="30"/>
      <c r="N239" s="30"/>
      <c r="O239" s="30"/>
    </row>
    <row r="240" spans="1:15" x14ac:dyDescent="0.25">
      <c r="A240" s="30"/>
      <c r="B240" s="30"/>
      <c r="C240" s="30"/>
      <c r="D240" s="30"/>
      <c r="E240" s="30"/>
      <c r="F240" s="30"/>
      <c r="G240" s="30"/>
      <c r="H240" s="30"/>
      <c r="I240" s="30"/>
      <c r="J240" s="30"/>
      <c r="K240" s="30"/>
      <c r="L240" s="30"/>
      <c r="M240" s="30"/>
      <c r="N240" s="30"/>
      <c r="O240" s="30"/>
    </row>
    <row r="241" spans="1:15" x14ac:dyDescent="0.25">
      <c r="A241" s="30"/>
      <c r="B241" s="30"/>
      <c r="C241" s="30"/>
      <c r="D241" s="30"/>
      <c r="E241" s="30"/>
      <c r="F241" s="30"/>
      <c r="G241" s="30"/>
      <c r="H241" s="30"/>
      <c r="I241" s="30"/>
      <c r="J241" s="30"/>
      <c r="K241" s="30"/>
      <c r="L241" s="30"/>
      <c r="M241" s="30"/>
      <c r="N241" s="30"/>
      <c r="O241" s="30"/>
    </row>
    <row r="242" spans="1:15" x14ac:dyDescent="0.25">
      <c r="A242" s="30"/>
      <c r="B242" s="30"/>
      <c r="C242" s="30"/>
      <c r="D242" s="30"/>
      <c r="E242" s="30"/>
      <c r="F242" s="30"/>
      <c r="G242" s="30"/>
      <c r="H242" s="30"/>
      <c r="I242" s="30"/>
      <c r="J242" s="30"/>
      <c r="K242" s="30"/>
      <c r="L242" s="30"/>
      <c r="M242" s="30"/>
      <c r="N242" s="30"/>
      <c r="O242" s="30"/>
    </row>
    <row r="243" spans="1:15" x14ac:dyDescent="0.25">
      <c r="A243" s="30"/>
      <c r="B243" s="30"/>
      <c r="C243" s="30"/>
      <c r="D243" s="30"/>
      <c r="E243" s="30"/>
      <c r="F243" s="30"/>
      <c r="G243" s="30"/>
      <c r="H243" s="30"/>
      <c r="I243" s="30"/>
      <c r="J243" s="30"/>
      <c r="K243" s="30"/>
      <c r="L243" s="30"/>
      <c r="M243" s="30"/>
      <c r="N243" s="30"/>
      <c r="O243" s="30"/>
    </row>
    <row r="244" spans="1:15" x14ac:dyDescent="0.25">
      <c r="A244" s="30"/>
      <c r="B244" s="30"/>
      <c r="C244" s="30"/>
      <c r="D244" s="30"/>
      <c r="E244" s="30"/>
      <c r="F244" s="30"/>
      <c r="G244" s="30"/>
      <c r="H244" s="30"/>
      <c r="I244" s="30"/>
      <c r="J244" s="30"/>
      <c r="K244" s="30"/>
      <c r="L244" s="30"/>
      <c r="M244" s="30"/>
      <c r="N244" s="30"/>
      <c r="O244" s="30"/>
    </row>
    <row r="245" spans="1:15" x14ac:dyDescent="0.25">
      <c r="A245" s="30"/>
      <c r="B245" s="30"/>
      <c r="C245" s="30"/>
      <c r="D245" s="30"/>
      <c r="E245" s="30"/>
      <c r="F245" s="30"/>
      <c r="G245" s="30"/>
      <c r="H245" s="30"/>
      <c r="I245" s="30"/>
      <c r="J245" s="30"/>
      <c r="K245" s="30"/>
      <c r="L245" s="30"/>
      <c r="M245" s="30"/>
      <c r="N245" s="30"/>
      <c r="O245" s="30"/>
    </row>
    <row r="246" spans="1:15" x14ac:dyDescent="0.25">
      <c r="A246" s="30"/>
      <c r="B246" s="30"/>
      <c r="C246" s="30"/>
      <c r="D246" s="30"/>
      <c r="E246" s="30"/>
      <c r="F246" s="30"/>
      <c r="G246" s="30"/>
      <c r="H246" s="30"/>
      <c r="I246" s="30"/>
      <c r="J246" s="30"/>
      <c r="K246" s="30"/>
      <c r="L246" s="30"/>
      <c r="M246" s="30"/>
      <c r="N246" s="30"/>
      <c r="O246" s="30"/>
    </row>
    <row r="247" spans="1:15" x14ac:dyDescent="0.25">
      <c r="A247" s="30"/>
      <c r="B247" s="30"/>
      <c r="C247" s="30"/>
      <c r="D247" s="30"/>
      <c r="E247" s="30"/>
      <c r="F247" s="30"/>
      <c r="G247" s="30"/>
      <c r="H247" s="30"/>
      <c r="I247" s="30"/>
      <c r="J247" s="30"/>
      <c r="K247" s="30"/>
      <c r="L247" s="30"/>
      <c r="M247" s="30"/>
      <c r="N247" s="30"/>
      <c r="O247" s="30"/>
    </row>
    <row r="248" spans="1:15" x14ac:dyDescent="0.25">
      <c r="A248" s="30"/>
      <c r="B248" s="30"/>
      <c r="C248" s="30"/>
      <c r="D248" s="30"/>
      <c r="E248" s="30"/>
      <c r="F248" s="30"/>
      <c r="G248" s="30"/>
      <c r="H248" s="30"/>
      <c r="I248" s="30"/>
      <c r="J248" s="30"/>
      <c r="K248" s="30"/>
      <c r="L248" s="30"/>
      <c r="M248" s="30"/>
      <c r="N248" s="30"/>
      <c r="O248" s="30"/>
    </row>
    <row r="249" spans="1:15" x14ac:dyDescent="0.25">
      <c r="A249" s="30"/>
      <c r="B249" s="30"/>
      <c r="C249" s="30"/>
      <c r="D249" s="30"/>
      <c r="E249" s="30"/>
      <c r="F249" s="30"/>
      <c r="G249" s="30"/>
      <c r="H249" s="30"/>
      <c r="I249" s="30"/>
      <c r="J249" s="30"/>
      <c r="K249" s="30"/>
      <c r="L249" s="30"/>
      <c r="M249" s="30"/>
      <c r="N249" s="30"/>
      <c r="O249" s="30"/>
    </row>
    <row r="250" spans="1:15" x14ac:dyDescent="0.25">
      <c r="A250" s="30"/>
      <c r="B250" s="30"/>
      <c r="C250" s="30"/>
      <c r="D250" s="30"/>
      <c r="E250" s="30"/>
      <c r="F250" s="30"/>
      <c r="G250" s="30"/>
      <c r="H250" s="30"/>
      <c r="I250" s="30"/>
      <c r="J250" s="30"/>
      <c r="K250" s="30"/>
      <c r="L250" s="30"/>
      <c r="M250" s="30"/>
      <c r="N250" s="30"/>
      <c r="O250" s="30"/>
    </row>
    <row r="251" spans="1:15" x14ac:dyDescent="0.25">
      <c r="A251" s="30"/>
      <c r="B251" s="30"/>
      <c r="C251" s="30"/>
      <c r="D251" s="30"/>
      <c r="E251" s="30"/>
      <c r="F251" s="30"/>
      <c r="G251" s="30"/>
      <c r="H251" s="30"/>
      <c r="I251" s="30"/>
      <c r="J251" s="30"/>
      <c r="K251" s="30"/>
      <c r="L251" s="30"/>
      <c r="M251" s="30"/>
      <c r="N251" s="30"/>
      <c r="O251" s="30"/>
    </row>
  </sheetData>
  <sheetProtection algorithmName="SHA-512" hashValue="BV6mfK4BifVymKw6hj4fUffdqIncCmbC5pGBxkF3cVqV9lHyHNw3ltsPAS3edo5DKMWe7v/64OF0TKww180nVA==" saltValue="Z+fkryvNWGv1y5MG1XV+vw==" spinCount="100000" sheet="1" objects="1" scenarios="1"/>
  <mergeCells count="149">
    <mergeCell ref="D23:E23"/>
    <mergeCell ref="J20:K20"/>
    <mergeCell ref="J23:K23"/>
    <mergeCell ref="J29:K29"/>
    <mergeCell ref="F20:G20"/>
    <mergeCell ref="F23:G23"/>
    <mergeCell ref="F24:G24"/>
    <mergeCell ref="G4:H4"/>
    <mergeCell ref="B1:H2"/>
    <mergeCell ref="L4:M4"/>
    <mergeCell ref="B10:M10"/>
    <mergeCell ref="L16:M16"/>
    <mergeCell ref="J19:M19"/>
    <mergeCell ref="J12:K12"/>
    <mergeCell ref="L12:M12"/>
    <mergeCell ref="J11:M11"/>
    <mergeCell ref="H13:I13"/>
    <mergeCell ref="H14:I14"/>
    <mergeCell ref="F14:G14"/>
    <mergeCell ref="J13:M13"/>
    <mergeCell ref="J14:M14"/>
    <mergeCell ref="H15:I15"/>
    <mergeCell ref="H16:I16"/>
    <mergeCell ref="J15:M15"/>
    <mergeCell ref="J16:K16"/>
    <mergeCell ref="H17:M17"/>
    <mergeCell ref="H18:M18"/>
    <mergeCell ref="D19:I19"/>
    <mergeCell ref="B18:G18"/>
    <mergeCell ref="B42:M42"/>
    <mergeCell ref="D45:E45"/>
    <mergeCell ref="F40:G40"/>
    <mergeCell ref="L31:M31"/>
    <mergeCell ref="L34:M34"/>
    <mergeCell ref="B35:M35"/>
    <mergeCell ref="F25:G25"/>
    <mergeCell ref="F29:G29"/>
    <mergeCell ref="F34:G34"/>
    <mergeCell ref="D33:E33"/>
    <mergeCell ref="F33:G33"/>
    <mergeCell ref="H33:I33"/>
    <mergeCell ref="J33:K33"/>
    <mergeCell ref="L33:M33"/>
    <mergeCell ref="D29:E29"/>
    <mergeCell ref="D41:E41"/>
    <mergeCell ref="F41:G41"/>
    <mergeCell ref="J41:K41"/>
    <mergeCell ref="J25:K25"/>
    <mergeCell ref="L41:M41"/>
    <mergeCell ref="L29:M29"/>
    <mergeCell ref="B26:M26"/>
    <mergeCell ref="D25:E25"/>
    <mergeCell ref="H29:I29"/>
    <mergeCell ref="D50:E50"/>
    <mergeCell ref="D51:E51"/>
    <mergeCell ref="D52:E52"/>
    <mergeCell ref="H52:I52"/>
    <mergeCell ref="D46:E46"/>
    <mergeCell ref="H48:I48"/>
    <mergeCell ref="J45:K45"/>
    <mergeCell ref="F50:G50"/>
    <mergeCell ref="F51:G51"/>
    <mergeCell ref="H45:I45"/>
    <mergeCell ref="H46:I46"/>
    <mergeCell ref="J46:K46"/>
    <mergeCell ref="J50:K50"/>
    <mergeCell ref="F52:G52"/>
    <mergeCell ref="D48:E48"/>
    <mergeCell ref="H50:I50"/>
    <mergeCell ref="H47:I47"/>
    <mergeCell ref="J47:K47"/>
    <mergeCell ref="B49:M49"/>
    <mergeCell ref="L50:M50"/>
    <mergeCell ref="L45:M45"/>
    <mergeCell ref="L46:M46"/>
    <mergeCell ref="J48:K48"/>
    <mergeCell ref="J51:K51"/>
    <mergeCell ref="J52:K52"/>
    <mergeCell ref="L52:M52"/>
    <mergeCell ref="L47:M47"/>
    <mergeCell ref="L48:M48"/>
    <mergeCell ref="B44:M44"/>
    <mergeCell ref="L58:M58"/>
    <mergeCell ref="L53:M53"/>
    <mergeCell ref="B55:M55"/>
    <mergeCell ref="L56:M56"/>
    <mergeCell ref="L57:M57"/>
    <mergeCell ref="J57:K57"/>
    <mergeCell ref="J58:K58"/>
    <mergeCell ref="B58:I58"/>
    <mergeCell ref="D56:E56"/>
    <mergeCell ref="D57:E57"/>
    <mergeCell ref="D53:E53"/>
    <mergeCell ref="H53:I53"/>
    <mergeCell ref="J56:K56"/>
    <mergeCell ref="F57:G57"/>
    <mergeCell ref="H57:I57"/>
    <mergeCell ref="H56:I56"/>
    <mergeCell ref="H51:I51"/>
    <mergeCell ref="D47:E47"/>
    <mergeCell ref="F46:G46"/>
    <mergeCell ref="L51:M51"/>
    <mergeCell ref="J53:K53"/>
    <mergeCell ref="F56:G56"/>
    <mergeCell ref="F53:G53"/>
    <mergeCell ref="B7:B8"/>
    <mergeCell ref="H41:I41"/>
    <mergeCell ref="J31:K31"/>
    <mergeCell ref="J34:K34"/>
    <mergeCell ref="H20:I20"/>
    <mergeCell ref="H23:I23"/>
    <mergeCell ref="H24:I24"/>
    <mergeCell ref="H25:I25"/>
    <mergeCell ref="H34:I34"/>
    <mergeCell ref="D40:E40"/>
    <mergeCell ref="D34:E34"/>
    <mergeCell ref="B38:M38"/>
    <mergeCell ref="J24:K24"/>
    <mergeCell ref="J30:K30"/>
    <mergeCell ref="L30:M30"/>
    <mergeCell ref="L40:M40"/>
    <mergeCell ref="J40:K40"/>
    <mergeCell ref="H40:I40"/>
    <mergeCell ref="D32:E32"/>
    <mergeCell ref="F32:G32"/>
    <mergeCell ref="H32:I32"/>
    <mergeCell ref="J32:K32"/>
    <mergeCell ref="L32:M32"/>
    <mergeCell ref="D30:E30"/>
    <mergeCell ref="O8:P8"/>
    <mergeCell ref="C5:M5"/>
    <mergeCell ref="C6:M6"/>
    <mergeCell ref="C7:D7"/>
    <mergeCell ref="C8:D8"/>
    <mergeCell ref="H7:J7"/>
    <mergeCell ref="H8:J8"/>
    <mergeCell ref="E7:G7"/>
    <mergeCell ref="E8:G8"/>
    <mergeCell ref="K7:M7"/>
    <mergeCell ref="K8:M8"/>
    <mergeCell ref="O7:P7"/>
    <mergeCell ref="F30:G30"/>
    <mergeCell ref="H30:I30"/>
    <mergeCell ref="L20:M20"/>
    <mergeCell ref="B21:M21"/>
    <mergeCell ref="L23:M23"/>
    <mergeCell ref="L24:M24"/>
    <mergeCell ref="L25:M25"/>
    <mergeCell ref="D20:E20"/>
  </mergeCells>
  <conditionalFormatting sqref="H57 J57">
    <cfRule type="cellIs" dxfId="61" priority="62" stopIfTrue="1" operator="equal">
      <formula>"System vervollstän-digen"</formula>
    </cfRule>
    <cfRule type="cellIs" dxfId="60" priority="63" stopIfTrue="1" operator="equal">
      <formula>"Pkt. 3.1-3.4 vervollstän-digen"</formula>
    </cfRule>
  </conditionalFormatting>
  <conditionalFormatting sqref="J58">
    <cfRule type="cellIs" dxfId="59" priority="52" stopIfTrue="1" operator="equal">
      <formula>"NEIN"</formula>
    </cfRule>
    <cfRule type="cellIs" dxfId="58" priority="53" stopIfTrue="1" operator="equal">
      <formula>"JA"</formula>
    </cfRule>
  </conditionalFormatting>
  <conditionalFormatting sqref="L57">
    <cfRule type="cellIs" dxfId="57" priority="37" stopIfTrue="1" operator="equal">
      <formula>"System vervollstän-digen"</formula>
    </cfRule>
    <cfRule type="cellIs" dxfId="56" priority="38" stopIfTrue="1" operator="equal">
      <formula>"Pkt. 3.1-3.4 vervollstän-digen"</formula>
    </cfRule>
  </conditionalFormatting>
  <conditionalFormatting sqref="L58">
    <cfRule type="cellIs" dxfId="55" priority="35" stopIfTrue="1" operator="equal">
      <formula>"NEIN"</formula>
    </cfRule>
    <cfRule type="cellIs" dxfId="54" priority="36" stopIfTrue="1" operator="equal">
      <formula>"JA"</formula>
    </cfRule>
  </conditionalFormatting>
  <conditionalFormatting sqref="D57 F57">
    <cfRule type="cellIs" dxfId="53" priority="33" stopIfTrue="1" operator="equal">
      <formula>"System vervollstän-digen"</formula>
    </cfRule>
    <cfRule type="cellIs" dxfId="52" priority="34" stopIfTrue="1" operator="equal">
      <formula>"Pkt. 3.1-3.4 vervollstän-digen"</formula>
    </cfRule>
  </conditionalFormatting>
  <conditionalFormatting sqref="E22">
    <cfRule type="cellIs" dxfId="51" priority="32" operator="greaterThan">
      <formula>VLOOKUP(System_1,Nutzungsgrad_max,3,FALSE)</formula>
    </cfRule>
  </conditionalFormatting>
  <conditionalFormatting sqref="I22">
    <cfRule type="cellIs" dxfId="50" priority="31" operator="greaterThan">
      <formula>VLOOKUP(System_2,Nutzungsgrad_max,3,FALSE)</formula>
    </cfRule>
  </conditionalFormatting>
  <conditionalFormatting sqref="K22">
    <cfRule type="cellIs" dxfId="49" priority="30" operator="greaterThan">
      <formula>VLOOKUP(System_3,Nutzungsgrad_max,3,FALSE)</formula>
    </cfRule>
  </conditionalFormatting>
  <conditionalFormatting sqref="M22">
    <cfRule type="cellIs" dxfId="48" priority="29" operator="greaterThan">
      <formula>VLOOKUP(System_4,Nutzungsgrad_max,3,FALSE)</formula>
    </cfRule>
  </conditionalFormatting>
  <conditionalFormatting sqref="L4:M4">
    <cfRule type="cellIs" dxfId="47" priority="64" operator="lessThan">
      <formula>$B$67</formula>
    </cfRule>
    <cfRule type="cellIs" dxfId="46" priority="65" operator="lessThan">
      <formula>TODAY()</formula>
    </cfRule>
  </conditionalFormatting>
  <conditionalFormatting sqref="F14:G14">
    <cfRule type="cellIs" dxfId="45" priority="7" operator="greaterThan">
      <formula>100</formula>
    </cfRule>
    <cfRule type="cellIs" dxfId="44" priority="8" operator="greaterThan">
      <formula>50</formula>
    </cfRule>
  </conditionalFormatting>
  <conditionalFormatting sqref="G22">
    <cfRule type="cellIs" dxfId="43" priority="6" operator="greaterThan">
      <formula>VLOOKUP(System_1b,Nutzungsgrad_max,3,FALSE)</formula>
    </cfRule>
  </conditionalFormatting>
  <conditionalFormatting sqref="A18:B18 H18:XFD18">
    <cfRule type="expression" dxfId="42" priority="4">
      <formula>$H$17="Ja"</formula>
    </cfRule>
  </conditionalFormatting>
  <conditionalFormatting sqref="H18:M18">
    <cfRule type="expression" dxfId="41" priority="3">
      <formula>$H$17="Ja"</formula>
    </cfRule>
  </conditionalFormatting>
  <conditionalFormatting sqref="B18:G18">
    <cfRule type="expression" dxfId="40" priority="2">
      <formula>$H$17="Ja"</formula>
    </cfRule>
  </conditionalFormatting>
  <dataValidations count="7">
    <dataValidation type="list" allowBlank="1" showInputMessage="1" showErrorMessage="1" sqref="J11" xr:uid="{00000000-0002-0000-0000-000000000000}">
      <formula1>Gebäudekategorie_ref</formula1>
    </dataValidation>
    <dataValidation type="list" allowBlank="1" showInputMessage="1" showErrorMessage="1" sqref="H20" xr:uid="{00000000-0002-0000-0000-000001000000}">
      <formula1>Alternativen1_ref</formula1>
    </dataValidation>
    <dataValidation type="list" allowBlank="1" showInputMessage="1" showErrorMessage="1" sqref="L20:M20" xr:uid="{00000000-0002-0000-0000-000002000000}">
      <formula1>Alternativen2_ref</formula1>
    </dataValidation>
    <dataValidation type="list" allowBlank="1" showInputMessage="1" showErrorMessage="1" sqref="WVU20 WLY20 WCC20 VSG20 VIK20 UYO20 UOS20 UEW20 TVA20 TLE20 TBI20 SRM20 SHQ20 RXU20 RNY20 REC20 QUG20 QKK20 QAO20 PQS20 PGW20 OXA20 ONE20 ODI20 NTM20 NJQ20 MZU20 MPY20 MGC20 LWG20 LMK20 LCO20 KSS20 KIW20 JZA20 JPE20 JFI20 IVM20 ILQ20 IBU20 HRY20 HIC20 GYG20 GOK20 GEO20 FUS20 FKW20 FBA20 ERE20 EHI20 DXM20 DNQ20 DDU20 CTY20 CKC20 CAG20 BQK20 BGO20 AWS20 AMW20 ADA20 TE20 JI20" xr:uid="{00000000-0002-0000-0000-000003000000}">
      <formula1>#REF!</formula1>
    </dataValidation>
    <dataValidation type="list" allowBlank="1" showInputMessage="1" showErrorMessage="1" sqref="JG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xr:uid="{00000000-0002-0000-0000-000004000000}">
      <formula1>$B$56:$B$70</formula1>
    </dataValidation>
    <dataValidation type="list" allowBlank="1" showInputMessage="1" showErrorMessage="1" sqref="F20:G20" xr:uid="{00000000-0002-0000-0000-000005000000}">
      <formula1>WP_Luft_Liste</formula1>
    </dataValidation>
    <dataValidation type="decimal" allowBlank="1" showInputMessage="1" showErrorMessage="1" errorTitle="Zahlenwert erforderlich" error="In diesem Feld muss ein Wert in Tausend Franken eingegeben werden" sqref="J29:M29" xr:uid="{93BA441A-B920-44B1-8C41-F94FCD09D0B3}">
      <formula1>0</formula1>
      <formula2>100000000</formula2>
    </dataValidation>
  </dataValidations>
  <pageMargins left="0.59055118110236227" right="0.43307086614173229" top="0.59055118110236227" bottom="0.59055118110236227" header="0.31496062992125984" footer="0.31496062992125984"/>
  <pageSetup paperSize="9" scale="75" orientation="portrait" r:id="rId1"/>
  <ignoredErrors>
    <ignoredError sqref="D31 H31 E29 J31:K31 M31 I29 E34 F31 K7:K8 E7:E8"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6000000}">
          <x14:formula1>
            <xm:f>Berechnungsgrundlagen!$B$23:$B$25</xm:f>
          </x14:formula1>
          <xm:sqref>H17</xm:sqref>
        </x14:dataValidation>
        <x14:dataValidation type="list" allowBlank="1" showInputMessage="1" showErrorMessage="1" xr:uid="{00000000-0002-0000-0000-000007000000}">
          <x14:formula1>
            <xm:f>Berechnungsgrundlagen!$B$47:$B$60</xm:f>
          </x14:formula1>
          <xm:sqref>WVS20</xm:sqref>
        </x14:dataValidation>
        <x14:dataValidation type="list" allowBlank="1" showInputMessage="1" xr:uid="{00000000-0002-0000-0000-000008000000}">
          <x14:formula1>
            <xm:f>Berechnungsgrundlagen!$B$28:$B$31</xm:f>
          </x14:formula1>
          <xm:sqref>H18:M18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dimension ref="A1:M55"/>
  <sheetViews>
    <sheetView topLeftCell="A4" workbookViewId="0">
      <selection activeCell="E33" sqref="E33"/>
    </sheetView>
  </sheetViews>
  <sheetFormatPr baseColWidth="10" defaultColWidth="30.5703125" defaultRowHeight="15" x14ac:dyDescent="0.25"/>
  <cols>
    <col min="1" max="1" width="3.140625" bestFit="1" customWidth="1"/>
    <col min="2" max="2" width="21.5703125" bestFit="1" customWidth="1"/>
    <col min="3" max="3" width="39.5703125" bestFit="1" customWidth="1"/>
    <col min="4" max="4" width="28.85546875" bestFit="1" customWidth="1"/>
    <col min="5" max="5" width="25.7109375" bestFit="1" customWidth="1"/>
    <col min="6" max="6" width="37.85546875" bestFit="1" customWidth="1"/>
  </cols>
  <sheetData>
    <row r="1" spans="1:13" x14ac:dyDescent="0.25">
      <c r="A1" s="56">
        <v>5.0999999999999996</v>
      </c>
      <c r="B1" s="2" t="s">
        <v>230</v>
      </c>
      <c r="C1" s="167"/>
      <c r="D1" s="1"/>
      <c r="E1" s="1"/>
      <c r="F1" s="3"/>
      <c r="G1" s="56"/>
      <c r="H1" s="2"/>
      <c r="I1" s="167"/>
      <c r="J1" s="1"/>
      <c r="K1" s="1"/>
      <c r="L1" s="3"/>
      <c r="M1" s="3"/>
    </row>
    <row r="2" spans="1:13" x14ac:dyDescent="0.25">
      <c r="A2" s="56"/>
      <c r="B2" s="2"/>
      <c r="C2" s="167"/>
      <c r="D2" s="1"/>
      <c r="E2" s="1"/>
      <c r="F2" s="3"/>
      <c r="G2" s="56"/>
      <c r="H2" s="2"/>
      <c r="I2" s="1"/>
      <c r="J2" s="1"/>
      <c r="K2" s="1"/>
      <c r="L2" s="3"/>
      <c r="M2" s="3"/>
    </row>
    <row r="3" spans="1:13" x14ac:dyDescent="0.25">
      <c r="B3" s="3" t="s">
        <v>472</v>
      </c>
      <c r="C3" s="168">
        <f>Heizleistungsbedarf</f>
        <v>0</v>
      </c>
      <c r="D3" s="3"/>
      <c r="G3" s="55"/>
      <c r="H3" s="1"/>
      <c r="I3" s="1"/>
      <c r="J3" s="29"/>
      <c r="K3" s="3"/>
      <c r="L3" s="1"/>
      <c r="M3" s="3"/>
    </row>
    <row r="4" spans="1:13" x14ac:dyDescent="0.25">
      <c r="B4" s="3" t="s">
        <v>531</v>
      </c>
      <c r="C4" s="168">
        <f>NEB</f>
        <v>0</v>
      </c>
      <c r="D4" s="3"/>
      <c r="G4" s="55"/>
      <c r="H4" s="1"/>
      <c r="I4" s="1"/>
      <c r="J4" s="29"/>
      <c r="K4" s="3"/>
      <c r="L4" s="1"/>
      <c r="M4" s="3"/>
    </row>
    <row r="5" spans="1:13" ht="51" customHeight="1" x14ac:dyDescent="0.25">
      <c r="B5" s="170" t="s">
        <v>488</v>
      </c>
      <c r="C5" s="189">
        <v>0.75</v>
      </c>
      <c r="D5" s="3"/>
      <c r="G5" s="55"/>
      <c r="H5" s="1"/>
      <c r="I5" s="1"/>
      <c r="J5" s="29"/>
      <c r="K5" s="3"/>
      <c r="L5" s="1"/>
      <c r="M5" s="3"/>
    </row>
    <row r="6" spans="1:13" x14ac:dyDescent="0.25">
      <c r="B6" s="3"/>
      <c r="C6" s="3"/>
      <c r="D6" s="3"/>
      <c r="G6" s="55"/>
      <c r="H6" s="1"/>
      <c r="I6" s="1"/>
      <c r="J6" s="29"/>
      <c r="K6" s="3"/>
      <c r="L6" s="1"/>
      <c r="M6" s="3"/>
    </row>
    <row r="7" spans="1:13" x14ac:dyDescent="0.25">
      <c r="B7" s="24" t="s">
        <v>551</v>
      </c>
      <c r="C7" s="3"/>
      <c r="D7" s="3"/>
      <c r="G7" s="55"/>
      <c r="H7" s="1"/>
      <c r="I7" s="1"/>
      <c r="J7" s="29"/>
      <c r="K7" s="3"/>
      <c r="L7" s="3"/>
      <c r="M7" s="3"/>
    </row>
    <row r="8" spans="1:13" x14ac:dyDescent="0.25">
      <c r="B8" s="3" t="s">
        <v>458</v>
      </c>
      <c r="C8" s="3" t="s">
        <v>210</v>
      </c>
      <c r="D8" s="3" t="s">
        <v>480</v>
      </c>
      <c r="F8" s="3"/>
      <c r="G8" s="55"/>
      <c r="H8" s="1"/>
      <c r="I8" s="1"/>
      <c r="J8" s="29"/>
      <c r="K8" s="3"/>
      <c r="L8" s="3"/>
      <c r="M8" s="3"/>
    </row>
    <row r="9" spans="1:13" x14ac:dyDescent="0.25">
      <c r="B9" s="3" t="s">
        <v>470</v>
      </c>
      <c r="C9" s="169" t="s">
        <v>483</v>
      </c>
      <c r="D9" s="3">
        <f t="shared" ref="D9:D15" si="0">Faktor*D49</f>
        <v>18</v>
      </c>
      <c r="F9" s="3"/>
      <c r="G9" s="55"/>
      <c r="H9" s="1"/>
      <c r="I9" s="1"/>
      <c r="J9" s="29"/>
      <c r="K9" s="1"/>
      <c r="L9" s="3"/>
      <c r="M9" s="3"/>
    </row>
    <row r="10" spans="1:13" x14ac:dyDescent="0.25">
      <c r="B10" s="3" t="s">
        <v>457</v>
      </c>
      <c r="C10" s="169" t="s">
        <v>483</v>
      </c>
      <c r="D10" s="3">
        <f t="shared" si="0"/>
        <v>9</v>
      </c>
      <c r="F10" s="3"/>
      <c r="G10" s="55"/>
      <c r="H10" s="1"/>
      <c r="I10" s="1"/>
      <c r="J10" s="29"/>
      <c r="K10" s="1"/>
      <c r="L10" s="3"/>
      <c r="M10" s="3"/>
    </row>
    <row r="11" spans="1:13" x14ac:dyDescent="0.25">
      <c r="B11" s="3" t="s">
        <v>461</v>
      </c>
      <c r="C11" s="169" t="s">
        <v>483</v>
      </c>
      <c r="D11" s="3">
        <f t="shared" si="0"/>
        <v>18</v>
      </c>
      <c r="F11" s="3"/>
      <c r="G11" s="55"/>
      <c r="H11" s="1"/>
      <c r="I11" s="1"/>
      <c r="J11" s="29"/>
      <c r="K11" s="1"/>
      <c r="L11" s="3"/>
      <c r="M11" s="3"/>
    </row>
    <row r="12" spans="1:13" x14ac:dyDescent="0.25">
      <c r="B12" s="3" t="s">
        <v>464</v>
      </c>
      <c r="C12" s="169" t="s">
        <v>483</v>
      </c>
      <c r="D12" s="3">
        <f t="shared" si="0"/>
        <v>21</v>
      </c>
      <c r="F12" s="3"/>
      <c r="G12" s="55"/>
      <c r="H12" s="1"/>
      <c r="I12" s="1"/>
      <c r="J12" s="29"/>
      <c r="K12" s="1"/>
      <c r="L12" s="3"/>
      <c r="M12" s="1"/>
    </row>
    <row r="13" spans="1:13" x14ac:dyDescent="0.25">
      <c r="B13" s="3" t="s">
        <v>465</v>
      </c>
      <c r="C13" s="169" t="s">
        <v>483</v>
      </c>
      <c r="D13" s="3">
        <f t="shared" si="0"/>
        <v>27.999299999999998</v>
      </c>
      <c r="F13" s="3"/>
      <c r="G13" s="55"/>
      <c r="H13" s="1"/>
      <c r="I13" s="1"/>
      <c r="J13" s="29"/>
      <c r="K13" s="1"/>
      <c r="L13" s="1"/>
      <c r="M13" s="1"/>
    </row>
    <row r="14" spans="1:13" x14ac:dyDescent="0.25">
      <c r="B14" s="3" t="s">
        <v>467</v>
      </c>
      <c r="C14" s="169" t="s">
        <v>483</v>
      </c>
      <c r="D14" s="3">
        <f t="shared" si="0"/>
        <v>31.5</v>
      </c>
      <c r="F14" s="3"/>
      <c r="G14" s="55"/>
      <c r="H14" s="1"/>
      <c r="I14" s="167"/>
      <c r="J14" s="29"/>
      <c r="K14" s="3"/>
      <c r="L14" s="167"/>
      <c r="M14" s="1"/>
    </row>
    <row r="15" spans="1:13" x14ac:dyDescent="0.25">
      <c r="B15" s="3" t="s">
        <v>469</v>
      </c>
      <c r="C15" s="169" t="s">
        <v>483</v>
      </c>
      <c r="D15" s="3">
        <f t="shared" si="0"/>
        <v>33.75</v>
      </c>
      <c r="F15" s="3"/>
      <c r="G15" s="55"/>
      <c r="H15" s="1"/>
      <c r="I15" s="1"/>
      <c r="J15" s="29"/>
      <c r="K15" s="1"/>
      <c r="L15" s="3"/>
      <c r="M15" s="3"/>
    </row>
    <row r="16" spans="1:13" x14ac:dyDescent="0.25">
      <c r="F16" s="3"/>
      <c r="G16" s="55"/>
      <c r="H16" s="1"/>
      <c r="I16" s="1"/>
      <c r="J16" s="29"/>
      <c r="K16" s="1"/>
      <c r="L16" s="3"/>
      <c r="M16" s="3"/>
    </row>
    <row r="17" spans="2:4" x14ac:dyDescent="0.25">
      <c r="B17" s="24" t="s">
        <v>258</v>
      </c>
      <c r="C17" s="3"/>
      <c r="D17" s="3"/>
    </row>
    <row r="18" spans="2:4" x14ac:dyDescent="0.25">
      <c r="B18" s="3" t="s">
        <v>458</v>
      </c>
      <c r="C18" s="3" t="s">
        <v>210</v>
      </c>
      <c r="D18" s="3" t="s">
        <v>480</v>
      </c>
    </row>
    <row r="19" spans="2:4" x14ac:dyDescent="0.25">
      <c r="B19" s="3" t="s">
        <v>470</v>
      </c>
      <c r="C19" s="169" t="s">
        <v>473</v>
      </c>
      <c r="D19" s="3">
        <f>15*2.4</f>
        <v>36</v>
      </c>
    </row>
    <row r="20" spans="2:4" x14ac:dyDescent="0.25">
      <c r="B20" s="3" t="s">
        <v>457</v>
      </c>
      <c r="C20" s="169" t="s">
        <v>474</v>
      </c>
      <c r="D20" s="3">
        <f>(0.4*Heizleistungsbedarf+5)*2.4</f>
        <v>12</v>
      </c>
    </row>
    <row r="21" spans="2:4" x14ac:dyDescent="0.25">
      <c r="B21" s="3" t="s">
        <v>461</v>
      </c>
      <c r="C21" s="169" t="s">
        <v>475</v>
      </c>
      <c r="D21" s="3">
        <f>(0.2*Heizleistungsbedarf+15)*2.4</f>
        <v>36</v>
      </c>
    </row>
    <row r="22" spans="2:4" x14ac:dyDescent="0.25">
      <c r="B22" s="3" t="s">
        <v>464</v>
      </c>
      <c r="C22" s="169" t="s">
        <v>476</v>
      </c>
      <c r="D22" s="3">
        <f>(0.2*Heizleistungsbedarf+15)*2.8</f>
        <v>42</v>
      </c>
    </row>
    <row r="23" spans="2:4" x14ac:dyDescent="0.25">
      <c r="B23" s="3" t="s">
        <v>465</v>
      </c>
      <c r="C23" s="169" t="s">
        <v>477</v>
      </c>
      <c r="D23" s="3">
        <f>(0.1667*Heizleistungsbedarf+18.333)*3</f>
        <v>54.998999999999995</v>
      </c>
    </row>
    <row r="24" spans="2:4" x14ac:dyDescent="0.25">
      <c r="B24" s="3" t="s">
        <v>478</v>
      </c>
      <c r="C24" s="169" t="s">
        <v>479</v>
      </c>
      <c r="D24" s="3">
        <f>(0.16*Heizleistungsbedarf+20)*3.5</f>
        <v>70</v>
      </c>
    </row>
    <row r="27" spans="2:4" x14ac:dyDescent="0.25">
      <c r="B27" s="24" t="s">
        <v>55</v>
      </c>
      <c r="C27" s="3"/>
      <c r="D27" s="3"/>
    </row>
    <row r="28" spans="2:4" x14ac:dyDescent="0.25">
      <c r="B28" s="3" t="s">
        <v>458</v>
      </c>
      <c r="C28" s="3" t="s">
        <v>210</v>
      </c>
      <c r="D28" s="3" t="s">
        <v>480</v>
      </c>
    </row>
    <row r="29" spans="2:4" x14ac:dyDescent="0.25">
      <c r="B29" s="3" t="s">
        <v>532</v>
      </c>
      <c r="C29" s="169" t="s">
        <v>530</v>
      </c>
      <c r="D29" s="3">
        <f>NEB/(5.5*600*0.7)</f>
        <v>0</v>
      </c>
    </row>
    <row r="31" spans="2:4" x14ac:dyDescent="0.25">
      <c r="B31" s="24" t="s">
        <v>56</v>
      </c>
      <c r="C31" s="3"/>
      <c r="D31" s="3"/>
    </row>
    <row r="32" spans="2:4" x14ac:dyDescent="0.25">
      <c r="B32" s="3" t="s">
        <v>458</v>
      </c>
      <c r="C32" s="3" t="s">
        <v>210</v>
      </c>
      <c r="D32" s="3" t="s">
        <v>480</v>
      </c>
    </row>
    <row r="33" spans="2:5" x14ac:dyDescent="0.25">
      <c r="B33" s="3" t="s">
        <v>532</v>
      </c>
      <c r="C33" s="169" t="s">
        <v>533</v>
      </c>
      <c r="D33" s="3">
        <f>NEB/(1000*0.7)</f>
        <v>0</v>
      </c>
    </row>
    <row r="36" spans="2:5" x14ac:dyDescent="0.25">
      <c r="B36" s="24" t="s">
        <v>29</v>
      </c>
      <c r="C36" s="3"/>
      <c r="D36" s="3"/>
    </row>
    <row r="37" spans="2:5" x14ac:dyDescent="0.25">
      <c r="B37" s="3" t="s">
        <v>458</v>
      </c>
      <c r="C37" s="3" t="s">
        <v>485</v>
      </c>
      <c r="D37" s="3" t="s">
        <v>484</v>
      </c>
      <c r="E37" s="3" t="s">
        <v>487</v>
      </c>
    </row>
    <row r="38" spans="2:5" x14ac:dyDescent="0.25">
      <c r="B38" s="3" t="s">
        <v>470</v>
      </c>
      <c r="C38" s="169" t="s">
        <v>460</v>
      </c>
      <c r="D38" s="169" t="s">
        <v>486</v>
      </c>
      <c r="E38" s="3">
        <f>10*2.4+Heizleistungsbedarf*2000/10/1000*1.3</f>
        <v>24</v>
      </c>
    </row>
    <row r="39" spans="2:5" x14ac:dyDescent="0.25">
      <c r="B39" s="3" t="s">
        <v>457</v>
      </c>
      <c r="C39" s="169" t="s">
        <v>459</v>
      </c>
      <c r="D39" s="169" t="s">
        <v>486</v>
      </c>
      <c r="E39" s="3">
        <f>(0.2*Heizleistungsbedarf+5)*2.4+Heizleistungsbedarf*2000/10/1000*1.3</f>
        <v>12</v>
      </c>
    </row>
    <row r="40" spans="2:5" x14ac:dyDescent="0.25">
      <c r="B40" s="3" t="s">
        <v>461</v>
      </c>
      <c r="C40" s="169" t="s">
        <v>463</v>
      </c>
      <c r="D40" s="169" t="s">
        <v>486</v>
      </c>
      <c r="E40" s="3">
        <f>(0.1*Heizleistungsbedarf+10)*2.4+Heizleistungsbedarf*2000/10/1000*1.3</f>
        <v>24</v>
      </c>
    </row>
    <row r="41" spans="2:5" x14ac:dyDescent="0.25">
      <c r="B41" s="3" t="s">
        <v>464</v>
      </c>
      <c r="C41" s="169" t="s">
        <v>462</v>
      </c>
      <c r="D41" s="169" t="s">
        <v>486</v>
      </c>
      <c r="E41" s="3">
        <f>(0.1*Heizleistungsbedarf+10)*2.8+Heizleistungsbedarf*2000/10/1000*1.3</f>
        <v>28</v>
      </c>
    </row>
    <row r="42" spans="2:5" x14ac:dyDescent="0.25">
      <c r="B42" s="3" t="s">
        <v>465</v>
      </c>
      <c r="C42" s="169" t="s">
        <v>466</v>
      </c>
      <c r="D42" s="169" t="s">
        <v>486</v>
      </c>
      <c r="E42" s="3">
        <f>(0.0667*Heizleistungsbedarf+13.333)*2.8+Heizleistungsbedarf*2000/10/1000*1.3</f>
        <v>37.3324</v>
      </c>
    </row>
    <row r="43" spans="2:5" x14ac:dyDescent="0.25">
      <c r="B43" s="3" t="s">
        <v>467</v>
      </c>
      <c r="C43" s="169" t="s">
        <v>468</v>
      </c>
      <c r="D43" s="169" t="s">
        <v>486</v>
      </c>
      <c r="E43" s="3">
        <f>(0.06*Heizleistungsbedarf+15)*2.8+Heizleistungsbedarf*2000/10/1000*1.3</f>
        <v>42</v>
      </c>
    </row>
    <row r="44" spans="2:5" x14ac:dyDescent="0.25">
      <c r="B44" s="3" t="s">
        <v>469</v>
      </c>
      <c r="C44" s="169" t="s">
        <v>471</v>
      </c>
      <c r="D44" s="169" t="s">
        <v>486</v>
      </c>
      <c r="E44" s="3">
        <f>(0.06*Heizleistungsbedarf+15)*3+Heizleistungsbedarf*2000/10/1000*1.3</f>
        <v>45</v>
      </c>
    </row>
    <row r="47" spans="2:5" x14ac:dyDescent="0.25">
      <c r="B47" s="24" t="s">
        <v>59</v>
      </c>
      <c r="C47" s="3"/>
      <c r="D47" s="3"/>
    </row>
    <row r="48" spans="2:5" x14ac:dyDescent="0.25">
      <c r="B48" s="3" t="s">
        <v>458</v>
      </c>
      <c r="C48" s="3" t="s">
        <v>210</v>
      </c>
      <c r="D48" s="3" t="s">
        <v>480</v>
      </c>
    </row>
    <row r="49" spans="2:4" x14ac:dyDescent="0.25">
      <c r="B49" s="3" t="s">
        <v>470</v>
      </c>
      <c r="C49" s="169" t="s">
        <v>460</v>
      </c>
      <c r="D49" s="3">
        <v>24</v>
      </c>
    </row>
    <row r="50" spans="2:4" x14ac:dyDescent="0.25">
      <c r="B50" s="3" t="s">
        <v>457</v>
      </c>
      <c r="C50" s="169" t="s">
        <v>459</v>
      </c>
      <c r="D50" s="3">
        <f>(0.2*Heizleistungsbedarf+5)*2.4</f>
        <v>12</v>
      </c>
    </row>
    <row r="51" spans="2:4" x14ac:dyDescent="0.25">
      <c r="B51" s="3" t="s">
        <v>461</v>
      </c>
      <c r="C51" s="169" t="s">
        <v>463</v>
      </c>
      <c r="D51" s="3">
        <f>(0.1*Heizleistungsbedarf+10)*2.4</f>
        <v>24</v>
      </c>
    </row>
    <row r="52" spans="2:4" x14ac:dyDescent="0.25">
      <c r="B52" s="3" t="s">
        <v>464</v>
      </c>
      <c r="C52" s="169" t="s">
        <v>462</v>
      </c>
      <c r="D52" s="3">
        <f>(0.1*Heizleistungsbedarf+10)*2.8</f>
        <v>28</v>
      </c>
    </row>
    <row r="53" spans="2:4" x14ac:dyDescent="0.25">
      <c r="B53" s="3" t="s">
        <v>465</v>
      </c>
      <c r="C53" s="169" t="s">
        <v>466</v>
      </c>
      <c r="D53" s="3">
        <f>(0.0667*Heizleistungsbedarf+13.333)*2.8</f>
        <v>37.3324</v>
      </c>
    </row>
    <row r="54" spans="2:4" x14ac:dyDescent="0.25">
      <c r="B54" s="3" t="s">
        <v>467</v>
      </c>
      <c r="C54" s="169" t="s">
        <v>468</v>
      </c>
      <c r="D54" s="3">
        <f>(0.06*Heizleistungsbedarf+15)*2.8</f>
        <v>42</v>
      </c>
    </row>
    <row r="55" spans="2:4" x14ac:dyDescent="0.25">
      <c r="B55" s="3" t="s">
        <v>469</v>
      </c>
      <c r="C55" s="169" t="s">
        <v>471</v>
      </c>
      <c r="D55" s="3">
        <f>(0.06*Heizleistungsbedarf+15)*3</f>
        <v>45</v>
      </c>
    </row>
  </sheetData>
  <sheetProtection algorithmName="SHA-512" hashValue="Fps6nygvmXJ7tt4pn54z8S+WzyqXJjt1YTh85KM6tZbeSw3BTfunXTeZy5O9ubPZexVrU+CH9PAHaqd6IGemcQ==" saltValue="3ZQB+nfi5D07e+42AIZntA==" spinCount="100000" sheet="1" objects="1" scenarios="1"/>
  <phoneticPr fontId="58"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dimension ref="A1:AL76"/>
  <sheetViews>
    <sheetView workbookViewId="0">
      <selection activeCell="H17" sqref="H17:M17"/>
    </sheetView>
  </sheetViews>
  <sheetFormatPr baseColWidth="10" defaultColWidth="11.42578125" defaultRowHeight="15" x14ac:dyDescent="0.25"/>
  <cols>
    <col min="1" max="1" width="3.85546875" style="41" bestFit="1" customWidth="1"/>
    <col min="2" max="2" width="20.5703125" style="41" customWidth="1"/>
    <col min="3" max="3" width="11.42578125" style="41"/>
    <col min="4" max="4" width="38.28515625" style="41" bestFit="1" customWidth="1"/>
    <col min="5" max="5" width="20.42578125" style="41" bestFit="1" customWidth="1"/>
    <col min="6" max="16384" width="11.42578125" style="41"/>
  </cols>
  <sheetData>
    <row r="1" spans="1:38" s="34" customFormat="1" x14ac:dyDescent="0.25">
      <c r="A1" s="34">
        <v>7.2</v>
      </c>
      <c r="B1" s="34" t="s">
        <v>235</v>
      </c>
    </row>
    <row r="3" spans="1:38" x14ac:dyDescent="0.25">
      <c r="B3" s="297" t="s">
        <v>236</v>
      </c>
      <c r="C3" s="298">
        <f>INDEX(B5:B39,(MATCH(TRUE,INDEX(ISNUMBER(B5:B39),0),0)))</f>
        <v>1.7500000000000002E-2</v>
      </c>
    </row>
    <row r="5" spans="1:38" s="34" customFormat="1" ht="45" x14ac:dyDescent="0.25">
      <c r="B5" s="299" t="s">
        <v>395</v>
      </c>
      <c r="C5" s="300" t="s">
        <v>232</v>
      </c>
      <c r="D5" s="301" t="s">
        <v>234</v>
      </c>
      <c r="E5" s="301" t="s">
        <v>233</v>
      </c>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row>
    <row r="6" spans="1:38" ht="15" customHeight="1" x14ac:dyDescent="0.25">
      <c r="B6" s="302"/>
      <c r="C6" s="303"/>
      <c r="D6" s="302"/>
      <c r="E6" s="304">
        <v>46022</v>
      </c>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row>
    <row r="7" spans="1:38" ht="15" customHeight="1" x14ac:dyDescent="0.25">
      <c r="B7" s="302"/>
      <c r="C7" s="303"/>
      <c r="D7" s="302"/>
      <c r="E7" s="304">
        <v>45930</v>
      </c>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row>
    <row r="8" spans="1:38" ht="15" customHeight="1" x14ac:dyDescent="0.25">
      <c r="B8" s="302"/>
      <c r="C8" s="303"/>
      <c r="D8" s="302"/>
      <c r="E8" s="304">
        <v>45838</v>
      </c>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row>
    <row r="9" spans="1:38" ht="15" customHeight="1" x14ac:dyDescent="0.25">
      <c r="B9" s="302"/>
      <c r="C9" s="303"/>
      <c r="D9" s="302"/>
      <c r="E9" s="304">
        <v>45747</v>
      </c>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row>
    <row r="10" spans="1:38" ht="15" customHeight="1" x14ac:dyDescent="0.25">
      <c r="B10" s="302"/>
      <c r="C10" s="303"/>
      <c r="D10" s="302"/>
      <c r="E10" s="304">
        <v>45657</v>
      </c>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row>
    <row r="11" spans="1:38" ht="15" customHeight="1" x14ac:dyDescent="0.25">
      <c r="B11" s="302"/>
      <c r="C11" s="303"/>
      <c r="D11" s="302"/>
      <c r="E11" s="304">
        <v>45565</v>
      </c>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row>
    <row r="12" spans="1:38" ht="15" customHeight="1" x14ac:dyDescent="0.25">
      <c r="B12" s="302"/>
      <c r="C12" s="303"/>
      <c r="D12" s="302"/>
      <c r="E12" s="304">
        <v>45473</v>
      </c>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row>
    <row r="13" spans="1:38" ht="15" customHeight="1" x14ac:dyDescent="0.25">
      <c r="B13" s="302"/>
      <c r="C13" s="303"/>
      <c r="D13" s="302"/>
      <c r="E13" s="304">
        <v>45382</v>
      </c>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row>
    <row r="14" spans="1:38" ht="15" customHeight="1" x14ac:dyDescent="0.25">
      <c r="B14" s="302">
        <v>1.7500000000000002E-2</v>
      </c>
      <c r="C14" s="303">
        <v>45353</v>
      </c>
      <c r="D14" s="302">
        <v>1.72E-2</v>
      </c>
      <c r="E14" s="304">
        <v>45291</v>
      </c>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row>
    <row r="15" spans="1:38" ht="15" customHeight="1" x14ac:dyDescent="0.25">
      <c r="B15" s="302">
        <v>1.7500000000000002E-2</v>
      </c>
      <c r="C15" s="303">
        <v>45262</v>
      </c>
      <c r="D15" s="302">
        <v>1.6899999999999998E-2</v>
      </c>
      <c r="E15" s="304">
        <v>45199</v>
      </c>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row>
    <row r="16" spans="1:38" ht="15" customHeight="1" x14ac:dyDescent="0.25">
      <c r="B16" s="302">
        <v>1.4999999999999999E-2</v>
      </c>
      <c r="C16" s="303">
        <v>45171</v>
      </c>
      <c r="D16" s="302">
        <v>1.5900000000000001E-2</v>
      </c>
      <c r="E16" s="304">
        <v>45107</v>
      </c>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row>
    <row r="17" spans="2:38" ht="15" customHeight="1" x14ac:dyDescent="0.25">
      <c r="B17" s="302">
        <v>1.4999999999999999E-2</v>
      </c>
      <c r="C17" s="303">
        <v>45079</v>
      </c>
      <c r="D17" s="302">
        <v>1.44E-2</v>
      </c>
      <c r="E17" s="304">
        <v>45016</v>
      </c>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row>
    <row r="18" spans="2:38" ht="15" customHeight="1" x14ac:dyDescent="0.25">
      <c r="B18" s="302">
        <v>1.2500000000000001E-2</v>
      </c>
      <c r="C18" s="303">
        <v>44987</v>
      </c>
      <c r="D18" s="302">
        <v>1.3299999999999999E-2</v>
      </c>
      <c r="E18" s="304">
        <v>44926</v>
      </c>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row>
    <row r="19" spans="2:38" ht="15" customHeight="1" x14ac:dyDescent="0.25">
      <c r="B19" s="302">
        <v>1.2500000000000001E-2</v>
      </c>
      <c r="C19" s="303">
        <v>44897</v>
      </c>
      <c r="D19" s="302">
        <v>1.18E-2</v>
      </c>
      <c r="E19" s="304">
        <v>44834</v>
      </c>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row>
    <row r="20" spans="2:38" ht="15" customHeight="1" x14ac:dyDescent="0.25">
      <c r="B20" s="302">
        <v>1.2500000000000001E-2</v>
      </c>
      <c r="C20" s="303">
        <v>44806</v>
      </c>
      <c r="D20" s="302">
        <v>1.17E-2</v>
      </c>
      <c r="E20" s="304">
        <v>44742</v>
      </c>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row>
    <row r="21" spans="2:38" ht="15" customHeight="1" x14ac:dyDescent="0.25">
      <c r="B21" s="302">
        <v>1.2500000000000001E-2</v>
      </c>
      <c r="C21" s="303">
        <v>44714</v>
      </c>
      <c r="D21" s="302">
        <v>1.18E-2</v>
      </c>
      <c r="E21" s="304">
        <v>44651</v>
      </c>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row>
    <row r="22" spans="2:38" ht="15" customHeight="1" x14ac:dyDescent="0.25">
      <c r="B22" s="302">
        <v>1.2500000000000001E-2</v>
      </c>
      <c r="C22" s="303">
        <v>44622</v>
      </c>
      <c r="D22" s="302">
        <v>1.1900000000000001E-2</v>
      </c>
      <c r="E22" s="304">
        <v>44561</v>
      </c>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row>
    <row r="23" spans="2:38" ht="15" customHeight="1" x14ac:dyDescent="0.25">
      <c r="B23" s="302">
        <v>1.2500000000000001E-2</v>
      </c>
      <c r="C23" s="303">
        <v>44532</v>
      </c>
      <c r="D23" s="302">
        <v>1.21E-2</v>
      </c>
      <c r="E23" s="304">
        <v>44469</v>
      </c>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row>
    <row r="24" spans="2:38" ht="15" customHeight="1" x14ac:dyDescent="0.25">
      <c r="B24" s="302">
        <v>1.2500000000000001E-2</v>
      </c>
      <c r="C24" s="303">
        <v>44441</v>
      </c>
      <c r="D24" s="302">
        <v>1.23E-2</v>
      </c>
      <c r="E24" s="304">
        <v>44377</v>
      </c>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row r="25" spans="2:38" ht="15" customHeight="1" x14ac:dyDescent="0.25">
      <c r="B25" s="302">
        <v>1.2500000000000001E-2</v>
      </c>
      <c r="C25" s="303">
        <v>44349</v>
      </c>
      <c r="D25" s="302">
        <v>1.2500000000000001E-2</v>
      </c>
      <c r="E25" s="304">
        <v>44286</v>
      </c>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row>
    <row r="26" spans="2:38" ht="15" customHeight="1" x14ac:dyDescent="0.25">
      <c r="B26" s="302">
        <v>1.2500000000000001E-2</v>
      </c>
      <c r="C26" s="303">
        <v>44257</v>
      </c>
      <c r="D26" s="302">
        <v>1.2800000000000001E-2</v>
      </c>
      <c r="E26" s="304">
        <v>44196</v>
      </c>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row>
    <row r="27" spans="2:38" ht="15" customHeight="1" x14ac:dyDescent="0.25">
      <c r="B27" s="302">
        <v>1.2500000000000001E-2</v>
      </c>
      <c r="C27" s="303">
        <v>44167</v>
      </c>
      <c r="D27" s="302">
        <v>1.2999999999999999E-2</v>
      </c>
      <c r="E27" s="304">
        <v>44104</v>
      </c>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row>
    <row r="28" spans="2:38" ht="15" customHeight="1" x14ac:dyDescent="0.25">
      <c r="B28" s="302">
        <v>1.2500000000000001E-2</v>
      </c>
      <c r="C28" s="303">
        <v>44076</v>
      </c>
      <c r="D28" s="302">
        <v>1.3299999999999999E-2</v>
      </c>
      <c r="E28" s="304">
        <v>44012</v>
      </c>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row>
    <row r="29" spans="2:38" x14ac:dyDescent="0.25">
      <c r="B29" s="305">
        <v>1.2500000000000001E-2</v>
      </c>
      <c r="C29" s="306">
        <v>43985</v>
      </c>
      <c r="D29" s="307">
        <v>1.35E-2</v>
      </c>
      <c r="E29" s="306">
        <v>43921</v>
      </c>
    </row>
    <row r="30" spans="2:38" x14ac:dyDescent="0.25">
      <c r="B30" s="305">
        <v>1.2500000000000001E-2</v>
      </c>
      <c r="C30" s="306">
        <v>43893</v>
      </c>
      <c r="D30" s="307">
        <v>1.37E-2</v>
      </c>
      <c r="E30" s="306">
        <v>43830</v>
      </c>
    </row>
    <row r="31" spans="2:38" x14ac:dyDescent="0.25">
      <c r="B31" s="305">
        <v>1.4999999999999999E-2</v>
      </c>
      <c r="C31" s="306">
        <v>43802</v>
      </c>
      <c r="D31" s="307">
        <v>1.3899999999999999E-2</v>
      </c>
      <c r="E31" s="306">
        <v>43738</v>
      </c>
    </row>
    <row r="32" spans="2:38" x14ac:dyDescent="0.25">
      <c r="B32" s="305">
        <v>1.4999999999999999E-2</v>
      </c>
      <c r="C32" s="306">
        <v>43711</v>
      </c>
      <c r="D32" s="307">
        <v>1.41E-2</v>
      </c>
      <c r="E32" s="306">
        <v>43646</v>
      </c>
    </row>
    <row r="33" spans="2:5" x14ac:dyDescent="0.25">
      <c r="B33" s="305">
        <v>1.4999999999999999E-2</v>
      </c>
      <c r="C33" s="306">
        <v>43620</v>
      </c>
      <c r="D33" s="307">
        <v>1.43E-2</v>
      </c>
      <c r="E33" s="306">
        <v>43555</v>
      </c>
    </row>
    <row r="34" spans="2:5" x14ac:dyDescent="0.25">
      <c r="B34" s="305">
        <v>1.4999999999999999E-2</v>
      </c>
      <c r="C34" s="306">
        <v>43526</v>
      </c>
      <c r="D34" s="307">
        <v>1.4500000000000001E-2</v>
      </c>
      <c r="E34" s="306">
        <v>43465</v>
      </c>
    </row>
    <row r="35" spans="2:5" x14ac:dyDescent="0.25">
      <c r="B35" s="305">
        <v>1.4999999999999999E-2</v>
      </c>
      <c r="C35" s="306">
        <v>43438</v>
      </c>
      <c r="D35" s="307">
        <v>1.47E-2</v>
      </c>
      <c r="E35" s="306">
        <v>43373</v>
      </c>
    </row>
    <row r="36" spans="2:5" x14ac:dyDescent="0.25">
      <c r="B36" s="305">
        <v>1.4999999999999999E-2</v>
      </c>
      <c r="C36" s="306">
        <v>43347</v>
      </c>
      <c r="D36" s="307">
        <v>1.49E-2</v>
      </c>
      <c r="E36" s="306">
        <v>43281</v>
      </c>
    </row>
    <row r="37" spans="2:5" x14ac:dyDescent="0.25">
      <c r="B37" s="305">
        <v>1.4999999999999999E-2</v>
      </c>
      <c r="C37" s="306">
        <v>43253</v>
      </c>
      <c r="D37" s="307">
        <v>1.5100000000000001E-2</v>
      </c>
      <c r="E37" s="306">
        <v>43190</v>
      </c>
    </row>
    <row r="38" spans="2:5" x14ac:dyDescent="0.25">
      <c r="B38" s="305">
        <v>1.4999999999999999E-2</v>
      </c>
      <c r="C38" s="306">
        <v>43161</v>
      </c>
      <c r="D38" s="307">
        <v>1.5299999999999999E-2</v>
      </c>
      <c r="E38" s="306">
        <v>43100</v>
      </c>
    </row>
    <row r="39" spans="2:5" x14ac:dyDescent="0.25">
      <c r="B39" s="305">
        <v>1.4999999999999999E-2</v>
      </c>
      <c r="C39" s="306">
        <v>43071</v>
      </c>
      <c r="D39" s="307">
        <v>1.5599999999999999E-2</v>
      </c>
      <c r="E39" s="306">
        <v>43008</v>
      </c>
    </row>
    <row r="40" spans="2:5" x14ac:dyDescent="0.25">
      <c r="B40" s="305">
        <v>1.4999999999999999E-2</v>
      </c>
      <c r="C40" s="306">
        <v>42980</v>
      </c>
      <c r="D40" s="307">
        <v>1.5800000000000002E-2</v>
      </c>
      <c r="E40" s="306">
        <v>42916</v>
      </c>
    </row>
    <row r="41" spans="2:5" x14ac:dyDescent="0.25">
      <c r="B41" s="305">
        <v>1.4999999999999999E-2</v>
      </c>
      <c r="C41" s="306">
        <v>42888</v>
      </c>
      <c r="D41" s="307">
        <v>1.61E-2</v>
      </c>
      <c r="E41" s="306">
        <v>42825</v>
      </c>
    </row>
    <row r="42" spans="2:5" x14ac:dyDescent="0.25">
      <c r="B42" s="305">
        <v>1.7500000000000002E-2</v>
      </c>
      <c r="C42" s="306">
        <v>42796</v>
      </c>
      <c r="D42" s="307">
        <v>1.6400000000000001E-2</v>
      </c>
      <c r="E42" s="306">
        <v>42735</v>
      </c>
    </row>
    <row r="43" spans="2:5" x14ac:dyDescent="0.25">
      <c r="B43" s="305">
        <v>1.7500000000000002E-2</v>
      </c>
      <c r="C43" s="306">
        <v>42706</v>
      </c>
      <c r="D43" s="307">
        <v>1.67E-2</v>
      </c>
      <c r="E43" s="306">
        <v>42643</v>
      </c>
    </row>
    <row r="44" spans="2:5" x14ac:dyDescent="0.25">
      <c r="B44" s="305">
        <v>1.7500000000000002E-2</v>
      </c>
      <c r="C44" s="306">
        <v>42615</v>
      </c>
      <c r="D44" s="307">
        <v>1.7000000000000001E-2</v>
      </c>
      <c r="E44" s="306">
        <v>42551</v>
      </c>
    </row>
    <row r="45" spans="2:5" x14ac:dyDescent="0.25">
      <c r="B45" s="305">
        <v>1.7500000000000002E-2</v>
      </c>
      <c r="C45" s="306">
        <v>42523</v>
      </c>
      <c r="D45" s="307">
        <v>1.7299999999999999E-2</v>
      </c>
      <c r="E45" s="306">
        <v>42460</v>
      </c>
    </row>
    <row r="46" spans="2:5" x14ac:dyDescent="0.25">
      <c r="B46" s="305">
        <v>1.7500000000000002E-2</v>
      </c>
      <c r="C46" s="306">
        <v>42431</v>
      </c>
      <c r="D46" s="307">
        <v>1.7600000000000001E-2</v>
      </c>
      <c r="E46" s="306">
        <v>42369</v>
      </c>
    </row>
    <row r="47" spans="2:5" x14ac:dyDescent="0.25">
      <c r="B47" s="305">
        <v>1.7500000000000002E-2</v>
      </c>
      <c r="C47" s="306">
        <v>42340</v>
      </c>
      <c r="D47" s="307">
        <v>1.7999999999999999E-2</v>
      </c>
      <c r="E47" s="306">
        <v>42277</v>
      </c>
    </row>
    <row r="48" spans="2:5" x14ac:dyDescent="0.25">
      <c r="B48" s="305">
        <v>1.7500000000000002E-2</v>
      </c>
      <c r="C48" s="306">
        <v>42249</v>
      </c>
      <c r="D48" s="307">
        <v>1.83E-2</v>
      </c>
      <c r="E48" s="306">
        <v>42185</v>
      </c>
    </row>
    <row r="49" spans="2:5" x14ac:dyDescent="0.25">
      <c r="B49" s="305">
        <v>1.7500000000000002E-2</v>
      </c>
      <c r="C49" s="306">
        <v>42157</v>
      </c>
      <c r="D49" s="307">
        <v>1.8599999999999998E-2</v>
      </c>
      <c r="E49" s="306">
        <v>42094</v>
      </c>
    </row>
    <row r="50" spans="2:5" x14ac:dyDescent="0.25">
      <c r="B50" s="305">
        <v>0.02</v>
      </c>
      <c r="C50" s="306">
        <v>42066</v>
      </c>
      <c r="D50" s="307">
        <v>1.89E-2</v>
      </c>
      <c r="E50" s="306">
        <v>42004</v>
      </c>
    </row>
    <row r="51" spans="2:5" x14ac:dyDescent="0.25">
      <c r="B51" s="305">
        <v>0.02</v>
      </c>
      <c r="C51" s="306">
        <v>41975</v>
      </c>
      <c r="D51" s="307">
        <v>1.9199999999999998E-2</v>
      </c>
      <c r="E51" s="306">
        <v>41912</v>
      </c>
    </row>
    <row r="52" spans="2:5" x14ac:dyDescent="0.25">
      <c r="B52" s="305">
        <v>0.02</v>
      </c>
      <c r="C52" s="306">
        <v>41884</v>
      </c>
      <c r="D52" s="307">
        <v>1.95E-2</v>
      </c>
      <c r="E52" s="306">
        <v>41820</v>
      </c>
    </row>
    <row r="53" spans="2:5" x14ac:dyDescent="0.25">
      <c r="B53" s="305">
        <v>0.02</v>
      </c>
      <c r="C53" s="306">
        <v>41793</v>
      </c>
      <c r="D53" s="307">
        <v>1.9800000000000002E-2</v>
      </c>
      <c r="E53" s="306">
        <v>41729</v>
      </c>
    </row>
    <row r="54" spans="2:5" x14ac:dyDescent="0.25">
      <c r="B54" s="305">
        <v>0.02</v>
      </c>
      <c r="C54" s="306">
        <v>41702</v>
      </c>
      <c r="D54" s="307">
        <v>2.0199999999999999E-2</v>
      </c>
      <c r="E54" s="306">
        <v>41639</v>
      </c>
    </row>
    <row r="55" spans="2:5" x14ac:dyDescent="0.25">
      <c r="B55" s="305">
        <v>0.02</v>
      </c>
      <c r="C55" s="306">
        <v>41611</v>
      </c>
      <c r="D55" s="307">
        <v>2.06E-2</v>
      </c>
      <c r="E55" s="306">
        <v>41547</v>
      </c>
    </row>
    <row r="56" spans="2:5" x14ac:dyDescent="0.25">
      <c r="B56" s="305">
        <v>0.02</v>
      </c>
      <c r="C56" s="306">
        <v>41520</v>
      </c>
      <c r="D56" s="307">
        <v>2.0899999999999998E-2</v>
      </c>
      <c r="E56" s="306">
        <v>41455</v>
      </c>
    </row>
    <row r="57" spans="2:5" x14ac:dyDescent="0.25">
      <c r="B57" s="305">
        <v>2.2499999999999999E-2</v>
      </c>
      <c r="C57" s="306">
        <v>41429</v>
      </c>
      <c r="D57" s="307">
        <v>2.1399999999999999E-2</v>
      </c>
      <c r="E57" s="306">
        <v>41364</v>
      </c>
    </row>
    <row r="58" spans="2:5" x14ac:dyDescent="0.25">
      <c r="B58" s="305">
        <v>2.2499999999999999E-2</v>
      </c>
      <c r="C58" s="306">
        <v>41335</v>
      </c>
      <c r="D58" s="307">
        <v>2.1899999999999999E-2</v>
      </c>
      <c r="E58" s="306">
        <v>41274</v>
      </c>
    </row>
    <row r="59" spans="2:5" x14ac:dyDescent="0.25">
      <c r="B59" s="305">
        <v>2.2499999999999999E-2</v>
      </c>
      <c r="C59" s="306">
        <v>41247</v>
      </c>
      <c r="D59" s="307">
        <v>2.2499999999999999E-2</v>
      </c>
      <c r="E59" s="306">
        <v>41182</v>
      </c>
    </row>
    <row r="60" spans="2:5" x14ac:dyDescent="0.25">
      <c r="B60" s="305">
        <v>2.2499999999999999E-2</v>
      </c>
      <c r="C60" s="306">
        <v>41156</v>
      </c>
      <c r="D60" s="307">
        <v>2.3E-2</v>
      </c>
      <c r="E60" s="306">
        <v>41090</v>
      </c>
    </row>
    <row r="61" spans="2:5" x14ac:dyDescent="0.25">
      <c r="B61" s="305">
        <v>2.2499999999999999E-2</v>
      </c>
      <c r="C61" s="306">
        <v>41062</v>
      </c>
      <c r="D61" s="307">
        <v>2.35E-2</v>
      </c>
      <c r="E61" s="306">
        <v>40999</v>
      </c>
    </row>
    <row r="62" spans="2:5" x14ac:dyDescent="0.25">
      <c r="B62" s="305">
        <v>2.5000000000000001E-2</v>
      </c>
      <c r="C62" s="306">
        <v>40970</v>
      </c>
      <c r="D62" s="307">
        <v>2.3900000000000001E-2</v>
      </c>
      <c r="E62" s="306">
        <v>40908</v>
      </c>
    </row>
    <row r="63" spans="2:5" x14ac:dyDescent="0.25">
      <c r="B63" s="305">
        <v>2.5000000000000001E-2</v>
      </c>
      <c r="C63" s="306">
        <v>40879</v>
      </c>
      <c r="D63" s="307">
        <v>2.4500000000000001E-2</v>
      </c>
      <c r="E63" s="306">
        <v>40816</v>
      </c>
    </row>
    <row r="64" spans="2:5" x14ac:dyDescent="0.25">
      <c r="B64" s="305">
        <v>2.75E-2</v>
      </c>
      <c r="C64" s="306">
        <v>40788</v>
      </c>
      <c r="D64" s="307">
        <v>2.5100000000000001E-2</v>
      </c>
      <c r="E64" s="306">
        <v>40724</v>
      </c>
    </row>
    <row r="65" spans="2:5" x14ac:dyDescent="0.25">
      <c r="B65" s="305">
        <v>2.75E-2</v>
      </c>
      <c r="C65" s="306">
        <v>40696</v>
      </c>
      <c r="D65" s="307">
        <v>2.5399999999999999E-2</v>
      </c>
      <c r="E65" s="306">
        <v>40633</v>
      </c>
    </row>
    <row r="66" spans="2:5" x14ac:dyDescent="0.25">
      <c r="B66" s="305">
        <v>2.75E-2</v>
      </c>
      <c r="C66" s="306">
        <v>40604</v>
      </c>
      <c r="D66" s="307">
        <v>2.5899999999999999E-2</v>
      </c>
      <c r="E66" s="306">
        <v>40543</v>
      </c>
    </row>
    <row r="67" spans="2:5" x14ac:dyDescent="0.25">
      <c r="B67" s="305">
        <v>2.75E-2</v>
      </c>
      <c r="C67" s="306">
        <v>40514</v>
      </c>
      <c r="D67" s="307">
        <v>2.6499999999999999E-2</v>
      </c>
      <c r="E67" s="306">
        <v>40451</v>
      </c>
    </row>
    <row r="68" spans="2:5" x14ac:dyDescent="0.25">
      <c r="B68" s="305">
        <v>0.03</v>
      </c>
      <c r="C68" s="306">
        <v>40423</v>
      </c>
      <c r="D68" s="307">
        <v>2.69E-2</v>
      </c>
      <c r="E68" s="306">
        <v>40359</v>
      </c>
    </row>
    <row r="69" spans="2:5" x14ac:dyDescent="0.25">
      <c r="B69" s="305">
        <v>0.03</v>
      </c>
      <c r="C69" s="306">
        <v>40331</v>
      </c>
      <c r="D69" s="307">
        <v>2.75E-2</v>
      </c>
      <c r="E69" s="306">
        <v>40268</v>
      </c>
    </row>
    <row r="70" spans="2:5" x14ac:dyDescent="0.25">
      <c r="B70" s="305">
        <v>0.03</v>
      </c>
      <c r="C70" s="306">
        <v>40239</v>
      </c>
      <c r="D70" s="307">
        <v>2.8000000000000001E-2</v>
      </c>
      <c r="E70" s="306">
        <v>40178</v>
      </c>
    </row>
    <row r="71" spans="2:5" x14ac:dyDescent="0.25">
      <c r="B71" s="305">
        <v>0.03</v>
      </c>
      <c r="C71" s="306">
        <v>40149</v>
      </c>
      <c r="D71" s="307">
        <v>2.86E-2</v>
      </c>
      <c r="E71" s="306">
        <v>40086</v>
      </c>
    </row>
    <row r="72" spans="2:5" x14ac:dyDescent="0.25">
      <c r="B72" s="305">
        <v>0.03</v>
      </c>
      <c r="C72" s="306">
        <v>40058</v>
      </c>
      <c r="D72" s="307">
        <v>2.93E-2</v>
      </c>
      <c r="E72" s="306">
        <v>39994</v>
      </c>
    </row>
    <row r="73" spans="2:5" x14ac:dyDescent="0.25">
      <c r="B73" s="305">
        <v>3.2500000000000001E-2</v>
      </c>
      <c r="C73" s="306">
        <v>39967</v>
      </c>
      <c r="D73" s="307">
        <v>3.0700000000000002E-2</v>
      </c>
      <c r="E73" s="306">
        <v>39903</v>
      </c>
    </row>
    <row r="74" spans="2:5" x14ac:dyDescent="0.25">
      <c r="B74" s="305">
        <v>3.5000000000000003E-2</v>
      </c>
      <c r="C74" s="306">
        <v>39875</v>
      </c>
      <c r="D74" s="307">
        <v>3.3300000000000003E-2</v>
      </c>
      <c r="E74" s="306">
        <v>39813</v>
      </c>
    </row>
    <row r="75" spans="2:5" x14ac:dyDescent="0.25">
      <c r="B75" s="305">
        <v>3.5000000000000003E-2</v>
      </c>
      <c r="C75" s="306">
        <v>39784</v>
      </c>
      <c r="D75" s="307">
        <v>3.4500000000000003E-2</v>
      </c>
      <c r="E75" s="306">
        <v>39721</v>
      </c>
    </row>
    <row r="76" spans="2:5" x14ac:dyDescent="0.25">
      <c r="B76" s="305">
        <v>3.5000000000000003E-2</v>
      </c>
      <c r="C76" s="306">
        <v>39701</v>
      </c>
      <c r="D76" s="307">
        <v>3.4299999999999997E-2</v>
      </c>
      <c r="E76" s="306">
        <v>39629</v>
      </c>
    </row>
  </sheetData>
  <sheetProtection algorithmName="SHA-512" hashValue="+Tz0YoIL86uGUsRPijFrGfN3VJL8484yWTcBrGqJ3+zJm3+OYnTXGvBHKlIVH3BEQjVrmcodfVqT4ZNyD5ERvA==" saltValue="RRZAleSy/r/Dgd5JjDfBWA==" spinCount="100000" sheet="1" objects="1" scenarios="1"/>
  <conditionalFormatting sqref="B6:D28">
    <cfRule type="cellIs" dxfId="0" priority="1" operator="equal">
      <formula>0</formula>
    </cfRule>
  </conditionalFormatting>
  <pageMargins left="0.7" right="0.7" top="0.78740157499999996" bottom="0.78740157499999996" header="0.3" footer="0.3"/>
  <pageSetup paperSize="9" orientation="portrait" r:id="rId1"/>
  <ignoredErrors>
    <ignoredError sqref="C3"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dimension ref="A1:E31"/>
  <sheetViews>
    <sheetView workbookViewId="0">
      <selection activeCell="J13" sqref="J13"/>
    </sheetView>
  </sheetViews>
  <sheetFormatPr baseColWidth="10" defaultColWidth="10.7109375" defaultRowHeight="15" x14ac:dyDescent="0.25"/>
  <cols>
    <col min="4" max="4" width="57.7109375" customWidth="1"/>
  </cols>
  <sheetData>
    <row r="1" spans="1:5" ht="18.75" x14ac:dyDescent="0.3">
      <c r="A1" s="150" t="s">
        <v>406</v>
      </c>
    </row>
    <row r="2" spans="1:5" x14ac:dyDescent="0.25">
      <c r="D2" s="151" t="s">
        <v>416</v>
      </c>
      <c r="E2" s="152" t="str">
        <f>VLOOKUP(C3,A4:E32,2)</f>
        <v>v_1.0.11</v>
      </c>
    </row>
    <row r="3" spans="1:5" x14ac:dyDescent="0.25">
      <c r="A3" t="s">
        <v>417</v>
      </c>
      <c r="C3" s="146">
        <f>MAX(A5:A32)</f>
        <v>45390</v>
      </c>
      <c r="D3" s="151" t="s">
        <v>415</v>
      </c>
      <c r="E3" s="153">
        <f>VLOOKUP(C3,A4:E31,5)</f>
        <v>45504</v>
      </c>
    </row>
    <row r="4" spans="1:5" ht="15.75" thickBot="1" x14ac:dyDescent="0.3"/>
    <row r="5" spans="1:5" ht="15.75" thickBot="1" x14ac:dyDescent="0.3">
      <c r="A5" s="147" t="s">
        <v>407</v>
      </c>
      <c r="B5" s="148" t="s">
        <v>409</v>
      </c>
      <c r="C5" s="148" t="s">
        <v>408</v>
      </c>
      <c r="D5" s="148" t="s">
        <v>411</v>
      </c>
      <c r="E5" s="149" t="s">
        <v>414</v>
      </c>
    </row>
    <row r="6" spans="1:5" x14ac:dyDescent="0.25">
      <c r="A6" s="160">
        <v>43799</v>
      </c>
      <c r="B6" s="161" t="s">
        <v>420</v>
      </c>
      <c r="C6" s="161" t="s">
        <v>412</v>
      </c>
      <c r="D6" s="161" t="s">
        <v>413</v>
      </c>
      <c r="E6" s="162">
        <v>43830</v>
      </c>
    </row>
    <row r="7" spans="1:5" x14ac:dyDescent="0.25">
      <c r="A7" s="154">
        <v>44104</v>
      </c>
      <c r="B7" s="155" t="s">
        <v>419</v>
      </c>
      <c r="C7" s="155" t="s">
        <v>410</v>
      </c>
      <c r="D7" s="155" t="s">
        <v>421</v>
      </c>
      <c r="E7" s="156">
        <v>44196</v>
      </c>
    </row>
    <row r="8" spans="1:5" x14ac:dyDescent="0.25">
      <c r="A8" s="154">
        <v>44163</v>
      </c>
      <c r="B8" s="155" t="s">
        <v>418</v>
      </c>
      <c r="C8" s="155" t="s">
        <v>412</v>
      </c>
      <c r="D8" s="155" t="s">
        <v>422</v>
      </c>
      <c r="E8" s="156">
        <v>44196</v>
      </c>
    </row>
    <row r="9" spans="1:5" x14ac:dyDescent="0.25">
      <c r="A9" s="154">
        <v>44421</v>
      </c>
      <c r="B9" s="155" t="s">
        <v>425</v>
      </c>
      <c r="C9" s="155" t="s">
        <v>412</v>
      </c>
      <c r="D9" s="155" t="s">
        <v>429</v>
      </c>
      <c r="E9" s="156">
        <v>44449</v>
      </c>
    </row>
    <row r="10" spans="1:5" x14ac:dyDescent="0.25">
      <c r="A10" s="154">
        <v>44422</v>
      </c>
      <c r="B10" s="155" t="s">
        <v>432</v>
      </c>
      <c r="C10" s="155" t="s">
        <v>412</v>
      </c>
      <c r="D10" s="155" t="s">
        <v>431</v>
      </c>
      <c r="E10" s="156">
        <v>44449</v>
      </c>
    </row>
    <row r="11" spans="1:5" x14ac:dyDescent="0.25">
      <c r="A11" s="154">
        <v>44470</v>
      </c>
      <c r="B11" s="155" t="s">
        <v>435</v>
      </c>
      <c r="C11" s="155" t="s">
        <v>412</v>
      </c>
      <c r="D11" s="155" t="s">
        <v>436</v>
      </c>
      <c r="E11" s="156">
        <v>44470</v>
      </c>
    </row>
    <row r="12" spans="1:5" x14ac:dyDescent="0.25">
      <c r="A12" s="154">
        <v>44532</v>
      </c>
      <c r="B12" s="155" t="s">
        <v>437</v>
      </c>
      <c r="C12" s="155" t="s">
        <v>412</v>
      </c>
      <c r="D12" s="155" t="s">
        <v>438</v>
      </c>
      <c r="E12" s="156">
        <v>44561</v>
      </c>
    </row>
    <row r="13" spans="1:5" x14ac:dyDescent="0.25">
      <c r="A13" s="154">
        <v>44600</v>
      </c>
      <c r="B13" s="155" t="s">
        <v>439</v>
      </c>
      <c r="C13" s="155" t="s">
        <v>412</v>
      </c>
      <c r="D13" s="155" t="s">
        <v>636</v>
      </c>
      <c r="E13" s="156">
        <v>44651</v>
      </c>
    </row>
    <row r="14" spans="1:5" x14ac:dyDescent="0.25">
      <c r="A14" s="154">
        <v>44636</v>
      </c>
      <c r="B14" s="155" t="s">
        <v>440</v>
      </c>
      <c r="C14" s="155" t="s">
        <v>410</v>
      </c>
      <c r="D14" s="155" t="s">
        <v>633</v>
      </c>
      <c r="E14" s="156">
        <v>44804</v>
      </c>
    </row>
    <row r="15" spans="1:5" x14ac:dyDescent="0.25">
      <c r="A15" s="154">
        <v>44652</v>
      </c>
      <c r="B15" s="155" t="s">
        <v>635</v>
      </c>
      <c r="C15" s="155" t="s">
        <v>410</v>
      </c>
      <c r="D15" s="155" t="s">
        <v>634</v>
      </c>
      <c r="E15" s="156">
        <v>44804</v>
      </c>
    </row>
    <row r="16" spans="1:5" x14ac:dyDescent="0.25">
      <c r="A16" s="154">
        <v>44652</v>
      </c>
      <c r="B16" s="155" t="s">
        <v>638</v>
      </c>
      <c r="C16" s="155" t="s">
        <v>412</v>
      </c>
      <c r="D16" s="155" t="s">
        <v>641</v>
      </c>
      <c r="E16" s="156">
        <v>44804</v>
      </c>
    </row>
    <row r="17" spans="1:5" x14ac:dyDescent="0.25">
      <c r="A17" s="154">
        <v>44665</v>
      </c>
      <c r="B17" s="155" t="s">
        <v>639</v>
      </c>
      <c r="C17" s="155" t="s">
        <v>412</v>
      </c>
      <c r="D17" s="155" t="s">
        <v>640</v>
      </c>
      <c r="E17" s="156">
        <v>44804</v>
      </c>
    </row>
    <row r="18" spans="1:5" x14ac:dyDescent="0.25">
      <c r="A18" s="154">
        <v>44672</v>
      </c>
      <c r="B18" s="155" t="s">
        <v>642</v>
      </c>
      <c r="C18" s="155" t="s">
        <v>412</v>
      </c>
      <c r="D18" s="155" t="s">
        <v>660</v>
      </c>
      <c r="E18" s="156">
        <v>44804</v>
      </c>
    </row>
    <row r="19" spans="1:5" x14ac:dyDescent="0.25">
      <c r="A19" s="154">
        <v>44676</v>
      </c>
      <c r="B19" s="155" t="s">
        <v>652</v>
      </c>
      <c r="C19" s="155" t="s">
        <v>412</v>
      </c>
      <c r="D19" s="155" t="s">
        <v>659</v>
      </c>
      <c r="E19" s="156">
        <v>44804</v>
      </c>
    </row>
    <row r="20" spans="1:5" x14ac:dyDescent="0.25">
      <c r="A20" s="154">
        <v>44678</v>
      </c>
      <c r="B20" s="155" t="s">
        <v>657</v>
      </c>
      <c r="C20" s="155" t="s">
        <v>412</v>
      </c>
      <c r="D20" s="155" t="s">
        <v>658</v>
      </c>
      <c r="E20" s="156">
        <v>44804</v>
      </c>
    </row>
    <row r="21" spans="1:5" ht="30" x14ac:dyDescent="0.25">
      <c r="A21" s="154">
        <v>44790</v>
      </c>
      <c r="B21" s="155" t="s">
        <v>662</v>
      </c>
      <c r="C21" s="155" t="s">
        <v>412</v>
      </c>
      <c r="D21" s="155" t="s">
        <v>664</v>
      </c>
      <c r="E21" s="156">
        <v>44926</v>
      </c>
    </row>
    <row r="22" spans="1:5" x14ac:dyDescent="0.25">
      <c r="A22" s="154">
        <v>44927</v>
      </c>
      <c r="B22" s="155" t="s">
        <v>665</v>
      </c>
      <c r="C22" s="155" t="s">
        <v>412</v>
      </c>
      <c r="D22" s="155" t="s">
        <v>429</v>
      </c>
      <c r="E22" s="156">
        <v>45138</v>
      </c>
    </row>
    <row r="23" spans="1:5" x14ac:dyDescent="0.25">
      <c r="A23" s="154">
        <v>44977</v>
      </c>
      <c r="B23" s="155" t="s">
        <v>666</v>
      </c>
      <c r="C23" s="155" t="s">
        <v>412</v>
      </c>
      <c r="D23" s="155" t="s">
        <v>429</v>
      </c>
      <c r="E23" s="156">
        <v>45138</v>
      </c>
    </row>
    <row r="24" spans="1:5" ht="30" x14ac:dyDescent="0.25">
      <c r="A24" s="154">
        <v>44998</v>
      </c>
      <c r="B24" s="155" t="s">
        <v>667</v>
      </c>
      <c r="C24" s="155" t="s">
        <v>412</v>
      </c>
      <c r="D24" s="155" t="s">
        <v>668</v>
      </c>
      <c r="E24" s="156">
        <v>45138</v>
      </c>
    </row>
    <row r="25" spans="1:5" x14ac:dyDescent="0.25">
      <c r="A25" s="154">
        <v>45121</v>
      </c>
      <c r="B25" s="155" t="s">
        <v>670</v>
      </c>
      <c r="C25" s="155" t="s">
        <v>412</v>
      </c>
      <c r="D25" s="155" t="s">
        <v>669</v>
      </c>
      <c r="E25" s="156">
        <v>45291</v>
      </c>
    </row>
    <row r="26" spans="1:5" x14ac:dyDescent="0.25">
      <c r="A26" s="154">
        <v>45293</v>
      </c>
      <c r="B26" s="155" t="s">
        <v>671</v>
      </c>
      <c r="C26" s="155" t="s">
        <v>412</v>
      </c>
      <c r="D26" s="155" t="s">
        <v>669</v>
      </c>
      <c r="E26" s="156">
        <v>45382</v>
      </c>
    </row>
    <row r="27" spans="1:5" x14ac:dyDescent="0.25">
      <c r="A27" s="154">
        <v>45296</v>
      </c>
      <c r="B27" s="155" t="s">
        <v>672</v>
      </c>
      <c r="C27" s="155" t="s">
        <v>412</v>
      </c>
      <c r="D27" s="155" t="s">
        <v>673</v>
      </c>
      <c r="E27" s="156">
        <v>45382</v>
      </c>
    </row>
    <row r="28" spans="1:5" ht="45" x14ac:dyDescent="0.25">
      <c r="A28" s="154">
        <v>45390</v>
      </c>
      <c r="B28" s="155" t="s">
        <v>674</v>
      </c>
      <c r="C28" s="155" t="s">
        <v>675</v>
      </c>
      <c r="D28" s="155" t="s">
        <v>677</v>
      </c>
      <c r="E28" s="156">
        <v>45504</v>
      </c>
    </row>
    <row r="29" spans="1:5" x14ac:dyDescent="0.25">
      <c r="A29" s="154"/>
      <c r="B29" s="155"/>
      <c r="C29" s="155"/>
      <c r="D29" s="155"/>
      <c r="E29" s="156"/>
    </row>
    <row r="30" spans="1:5" x14ac:dyDescent="0.25">
      <c r="A30" s="154"/>
      <c r="B30" s="155"/>
      <c r="C30" s="155"/>
      <c r="D30" s="155"/>
      <c r="E30" s="156"/>
    </row>
    <row r="31" spans="1:5" ht="15.75" thickBot="1" x14ac:dyDescent="0.3">
      <c r="A31" s="163"/>
      <c r="B31" s="157"/>
      <c r="C31" s="157"/>
      <c r="D31" s="157"/>
      <c r="E31" s="164"/>
    </row>
  </sheetData>
  <sheetProtection algorithmName="SHA-512" hashValue="j4TYy/uDpFbj1t4MDmpyeuKlZyt8UHn+k+KL8mdLpaSQE3twMAPwCDKU0bdBkh/hYTkKcZXrgVB1cVIeBJEBkQ==" saltValue="KD9uCQ7xoedE6X82bnt6vg==" spinCount="100000" sheet="1" objects="1" scenario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9"/>
  <dimension ref="A1:F8"/>
  <sheetViews>
    <sheetView workbookViewId="0">
      <selection activeCell="H17" sqref="H17:M17"/>
    </sheetView>
  </sheetViews>
  <sheetFormatPr baseColWidth="10" defaultRowHeight="15" x14ac:dyDescent="0.25"/>
  <cols>
    <col min="1" max="1" width="23.28515625" customWidth="1"/>
    <col min="2" max="6" width="12.7109375" customWidth="1"/>
  </cols>
  <sheetData>
    <row r="1" spans="1:6" ht="21" x14ac:dyDescent="0.35">
      <c r="A1" s="204" t="s">
        <v>644</v>
      </c>
      <c r="B1" s="201" t="s">
        <v>649</v>
      </c>
      <c r="C1" s="201" t="s">
        <v>648</v>
      </c>
      <c r="D1" s="201" t="s">
        <v>647</v>
      </c>
      <c r="E1" s="201" t="s">
        <v>645</v>
      </c>
      <c r="F1" s="201" t="s">
        <v>646</v>
      </c>
    </row>
    <row r="2" spans="1:6" x14ac:dyDescent="0.25">
      <c r="A2" t="s">
        <v>651</v>
      </c>
      <c r="B2" s="202" t="str">
        <f>System_1</f>
        <v xml:space="preserve"> </v>
      </c>
      <c r="C2" s="202" t="str">
        <f>IF(System_1b&lt;&gt;0,System_1b,"")</f>
        <v/>
      </c>
      <c r="D2" s="202" t="str">
        <f>IF(System_2&lt;&gt;0,System_2,"")</f>
        <v/>
      </c>
      <c r="E2" s="202" t="str">
        <f>System_3</f>
        <v xml:space="preserve"> </v>
      </c>
      <c r="F2" s="202" t="str">
        <f>IF(System_4&lt;&gt;0,System_4,"")</f>
        <v/>
      </c>
    </row>
    <row r="3" spans="1:6" x14ac:dyDescent="0.25">
      <c r="A3" t="s">
        <v>47</v>
      </c>
      <c r="B3" s="77" t="str">
        <f>Berechnung!D50</f>
        <v xml:space="preserve"> </v>
      </c>
      <c r="C3" s="77" t="str">
        <f>Berechnung!F50</f>
        <v xml:space="preserve"> </v>
      </c>
      <c r="D3" s="77" t="str">
        <f>Berechnung!H50</f>
        <v xml:space="preserve"> </v>
      </c>
      <c r="E3" s="77" t="str">
        <f>Berechnung!J50</f>
        <v xml:space="preserve"> </v>
      </c>
      <c r="F3" s="77" t="str">
        <f>Berechnung!L50</f>
        <v xml:space="preserve"> </v>
      </c>
    </row>
    <row r="4" spans="1:6" x14ac:dyDescent="0.25">
      <c r="A4" t="s">
        <v>39</v>
      </c>
      <c r="B4" s="77" t="str">
        <f>Berechnung!D51</f>
        <v xml:space="preserve"> </v>
      </c>
      <c r="C4" s="77" t="str">
        <f>Berechnung!F51</f>
        <v xml:space="preserve"> </v>
      </c>
      <c r="D4" s="77" t="str">
        <f>Berechnung!H51</f>
        <v xml:space="preserve"> </v>
      </c>
      <c r="E4" s="77" t="str">
        <f>Berechnung!J51</f>
        <v xml:space="preserve"> </v>
      </c>
      <c r="F4" s="77" t="str">
        <f>Berechnung!L51</f>
        <v xml:space="preserve"> </v>
      </c>
    </row>
    <row r="5" spans="1:6" x14ac:dyDescent="0.25">
      <c r="A5" t="s">
        <v>48</v>
      </c>
      <c r="B5" s="77" t="str">
        <f>Berechnung!D52</f>
        <v xml:space="preserve"> </v>
      </c>
      <c r="C5" s="77" t="str">
        <f>Berechnung!F52</f>
        <v xml:space="preserve"> </v>
      </c>
      <c r="D5" s="77" t="str">
        <f>Berechnung!H52</f>
        <v xml:space="preserve"> </v>
      </c>
      <c r="E5" s="77" t="str">
        <f>Berechnung!J52</f>
        <v xml:space="preserve"> </v>
      </c>
      <c r="F5" s="77" t="str">
        <f>Berechnung!L52</f>
        <v xml:space="preserve"> </v>
      </c>
    </row>
    <row r="6" spans="1:6" x14ac:dyDescent="0.25">
      <c r="A6" t="s">
        <v>104</v>
      </c>
      <c r="B6" s="77" t="str">
        <f>IF(SUM(B3:B5)&lt;&gt;0,SUM(B3:B5),"")</f>
        <v/>
      </c>
      <c r="C6" s="77" t="str">
        <f t="shared" ref="C6:E6" si="0">IF(SUM(C3:C5)&lt;&gt;0,SUM(C3:C5),"")</f>
        <v/>
      </c>
      <c r="D6" s="77" t="str">
        <f t="shared" si="0"/>
        <v/>
      </c>
      <c r="E6" s="77" t="str">
        <f t="shared" si="0"/>
        <v/>
      </c>
      <c r="F6" s="77" t="str">
        <f>IF(System_4&lt;&gt;0,SUM(F3:F5),"")</f>
        <v/>
      </c>
    </row>
    <row r="7" spans="1:6" x14ac:dyDescent="0.25">
      <c r="A7" s="201"/>
      <c r="B7" s="201"/>
      <c r="C7" s="201"/>
      <c r="D7" s="201"/>
      <c r="E7" s="201" t="str">
        <f>IF(Berechnung!J57=1,Berechnung!J53,Berechnung!L53)</f>
        <v xml:space="preserve"> </v>
      </c>
      <c r="F7" s="201"/>
    </row>
    <row r="8" spans="1:6" x14ac:dyDescent="0.25">
      <c r="A8" s="201" t="s">
        <v>650</v>
      </c>
      <c r="B8" s="203" t="e">
        <f>1.05*E7</f>
        <v>#VALUE!</v>
      </c>
      <c r="C8" s="203" t="e">
        <f>B8</f>
        <v>#VALUE!</v>
      </c>
      <c r="D8" s="203" t="e">
        <f t="shared" ref="D8:E8" si="1">C8</f>
        <v>#VALUE!</v>
      </c>
      <c r="E8" s="203" t="e">
        <f t="shared" si="1"/>
        <v>#VALUE!</v>
      </c>
      <c r="F8" s="203" t="e">
        <f>E8</f>
        <v>#VALUE!</v>
      </c>
    </row>
  </sheetData>
  <sheetProtection algorithmName="SHA-512" hashValue="syDzbDsUlQtLz6sYXxZ+PIED01WKJa1UYhzkOv0NCb+wBkFXraM4Dmd4n4JLMTosew6H/zBg0DcWsOADSoqlCA==" saltValue="bR8JOXviYMa4zP51NBC4gw==" spinCount="100000" sheet="1" objects="1" scenarios="1"/>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56"/>
  <sheetViews>
    <sheetView workbookViewId="0">
      <selection activeCell="H17" sqref="H17:M17"/>
    </sheetView>
  </sheetViews>
  <sheetFormatPr baseColWidth="10" defaultColWidth="9.140625" defaultRowHeight="15" x14ac:dyDescent="0.25"/>
  <cols>
    <col min="1" max="1" width="30.42578125" customWidth="1"/>
    <col min="2" max="2" width="52.5703125" customWidth="1"/>
    <col min="3" max="3" width="49.7109375" bestFit="1" customWidth="1"/>
    <col min="4" max="4" width="35.85546875" bestFit="1" customWidth="1"/>
    <col min="5" max="5" width="42.42578125" bestFit="1" customWidth="1"/>
    <col min="6" max="6" width="42.42578125" customWidth="1"/>
    <col min="7" max="7" width="21.85546875" bestFit="1" customWidth="1"/>
  </cols>
  <sheetData>
    <row r="1" spans="1:5" x14ac:dyDescent="0.25">
      <c r="A1" s="183" t="s">
        <v>600</v>
      </c>
      <c r="B1" s="1" t="str">
        <f>IF(Berechnung!C6="","",_xlfn.WEBSERVICE(CONCATENATE("https://api3.geo.admin.ch/rest/services/api/SearchServer?searchText=" &amp; Berechnung!C6 &amp; "&amp;origins=address&amp;type=locations")))</f>
        <v/>
      </c>
      <c r="C1" s="173"/>
      <c r="D1" s="173"/>
      <c r="E1" s="173"/>
    </row>
    <row r="2" spans="1:5" x14ac:dyDescent="0.25">
      <c r="A2" s="185" t="s">
        <v>597</v>
      </c>
      <c r="B2" s="1" t="str">
        <f>IF($B1="","",IF(ISNUMBER(SEARCH("[]",$B1)),"Adresse nicht eindeutig","Gebäude gefunden"))</f>
        <v/>
      </c>
      <c r="C2" s="173"/>
      <c r="D2" s="173"/>
      <c r="E2" s="173" t="s">
        <v>430</v>
      </c>
    </row>
    <row r="3" spans="1:5" x14ac:dyDescent="0.25">
      <c r="A3" s="186" t="s">
        <v>599</v>
      </c>
      <c r="B3" s="174" t="str">
        <f>IF($B1="","",IF(ISNUMBER(SEARCH("[]",$B1))," ",MID($B1,SEARCH("featureId",$B1)+12,SEARCH(",""geom_quadindex"":",$B1)-SEARCH("featureId",$B1)-13)))</f>
        <v/>
      </c>
      <c r="C3" s="175" t="e">
        <f>VALUE(MID(B3,1,FIND("_",B3,1)-1))</f>
        <v>#VALUE!</v>
      </c>
      <c r="D3" s="176" t="e">
        <f>VALUE(MID(B3,FIND("_",B3,1)+1,3))</f>
        <v>#VALUE!</v>
      </c>
    </row>
    <row r="4" spans="1:5" x14ac:dyDescent="0.25">
      <c r="A4" s="187"/>
    </row>
    <row r="5" spans="1:5" x14ac:dyDescent="0.25">
      <c r="A5" s="183" t="s">
        <v>489</v>
      </c>
      <c r="B5" s="1" t="str">
        <f>IF(ISERROR(C3),"",CONCATENATE(_xlfn.WEBSERVICE("https://api3.geo.admin.ch/rest/services/api/MapServer/find?layer=ch.bfs.gebaeude_wohnungs_register&amp;searchText="&amp;C3&amp;"&amp;searchField=egid&amp;returnGeometry=false&amp;contains=false")))</f>
        <v/>
      </c>
      <c r="D5" s="1"/>
    </row>
    <row r="6" spans="1:5" x14ac:dyDescent="0.25">
      <c r="A6" s="183" t="s">
        <v>490</v>
      </c>
      <c r="B6" s="1" t="str">
        <f>SUBSTITUTE(B5,"""","")</f>
        <v/>
      </c>
    </row>
    <row r="7" spans="1:5" x14ac:dyDescent="0.25">
      <c r="A7" s="183"/>
      <c r="B7" s="1"/>
    </row>
    <row r="8" spans="1:5" x14ac:dyDescent="0.25">
      <c r="A8" s="183"/>
      <c r="B8" s="192" t="s">
        <v>598</v>
      </c>
      <c r="C8" s="192" t="s">
        <v>620</v>
      </c>
      <c r="D8" s="192" t="s">
        <v>632</v>
      </c>
      <c r="E8" s="192" t="s">
        <v>610</v>
      </c>
    </row>
    <row r="9" spans="1:5" x14ac:dyDescent="0.25">
      <c r="A9" s="191" t="s">
        <v>491</v>
      </c>
      <c r="B9" s="193" t="e">
        <f>C9</f>
        <v>#VALUE!</v>
      </c>
      <c r="C9" s="193" t="e">
        <f>D9</f>
        <v>#VALUE!</v>
      </c>
      <c r="D9" s="193" t="e">
        <f>MID(B6,SEARCH("gebf:",B6)+6,SEARCH(", gwaerzh1",B6)-SEARCH("gebf:",B6)-6)</f>
        <v>#VALUE!</v>
      </c>
      <c r="E9" s="193" t="s">
        <v>619</v>
      </c>
    </row>
    <row r="10" spans="1:5" x14ac:dyDescent="0.25">
      <c r="A10" s="191" t="s">
        <v>542</v>
      </c>
      <c r="B10" s="193" t="e">
        <f>C10</f>
        <v>#VALUE!</v>
      </c>
      <c r="C10" s="193" t="e">
        <f>IF(D10="null","keine Angaben",VLOOKUP(_xlfn.NUMBERVALUE(D10),Table24[],2,FALSE))</f>
        <v>#VALUE!</v>
      </c>
      <c r="D10" s="193" t="e">
        <f>MID(B6,SEARCH("gwaerzh1: ",B6)+10,SEARCH(", genh1",B6)-SEARCH("gwaerzh1: ",B6)-10)</f>
        <v>#VALUE!</v>
      </c>
      <c r="E10" s="193" t="s">
        <v>611</v>
      </c>
    </row>
    <row r="11" spans="1:5" x14ac:dyDescent="0.25">
      <c r="A11" s="191" t="s">
        <v>492</v>
      </c>
      <c r="B11" s="193" t="e">
        <f>IF(C11="keine Angaben",C11,VLOOKUP(C11,Table2[[Quelle]:[Heizsystem (Übersetzung)]],2,FALSE))</f>
        <v>#VALUE!</v>
      </c>
      <c r="C11" s="193" t="e">
        <f>IF(D11="null","keine Angaben",VLOOKUP(_xlfn.NUMBERVALUE(D11),Table2[],2,FALSE))</f>
        <v>#VALUE!</v>
      </c>
      <c r="D11" s="193" t="e">
        <f>MID(B6,SEARCH("genh1: ",B6)+7,SEARCH(", gwaersceh1",B6)-SEARCH("genh1: ",B6)-7)</f>
        <v>#VALUE!</v>
      </c>
      <c r="E11" s="193" t="s">
        <v>613</v>
      </c>
    </row>
    <row r="12" spans="1:5" x14ac:dyDescent="0.25">
      <c r="A12" s="191" t="s">
        <v>544</v>
      </c>
      <c r="B12" s="193" t="e">
        <f>C12</f>
        <v>#VALUE!</v>
      </c>
      <c r="C12" s="193" t="e">
        <f>IF(D12="null","keine Angaben",VLOOKUP(_xlfn.NUMBERVALUE(D12),Table242[],2,FALSE))</f>
        <v>#VALUE!</v>
      </c>
      <c r="D12" s="193" t="e">
        <f>MID(B6,SEARCH("gwaerzw1: ",B6)+10,SEARCH(", genw1",B6)-SEARCH("gwaerzw1: ",B6)-10)</f>
        <v>#VALUE!</v>
      </c>
      <c r="E12" s="193" t="s">
        <v>615</v>
      </c>
    </row>
    <row r="13" spans="1:5" x14ac:dyDescent="0.25">
      <c r="A13" s="191" t="s">
        <v>545</v>
      </c>
      <c r="B13" s="193" t="e">
        <f>IF(C13="keine Angaben",C13,VLOOKUP(C13,Table2[[Quelle]:[Heizsystem (Übersetzung)]],2,FALSE))</f>
        <v>#VALUE!</v>
      </c>
      <c r="C13" s="193" t="e">
        <f>IF(D13="null","keine Angaben",VLOOKUP(_xlfn.NUMBERVALUE(D13),Table2[],2,FALSE))</f>
        <v>#VALUE!</v>
      </c>
      <c r="D13" s="193" t="e">
        <f>MID(B6,SEARCH("genw1: ",B6)+7,SEARCH(", gwaerscew1",B6)-SEARCH("genw1: ",B6)-7)</f>
        <v>#VALUE!</v>
      </c>
      <c r="E13" s="193" t="s">
        <v>617</v>
      </c>
    </row>
    <row r="14" spans="1:5" x14ac:dyDescent="0.25">
      <c r="A14" s="191" t="s">
        <v>543</v>
      </c>
      <c r="B14" s="193" t="e">
        <f>C14</f>
        <v>#VALUE!</v>
      </c>
      <c r="C14" s="193" t="e">
        <f>IF(D14="null","keine Angaben",VLOOKUP(_xlfn.NUMBERVALUE(D14),Table24[],2,FALSE))</f>
        <v>#VALUE!</v>
      </c>
      <c r="D14" s="193" t="e">
        <f>MID(B6,SEARCH("gwaerzh2: ",B6)+10,SEARCH(", genh2",B6)-SEARCH("gwaerzh2: ",B6)-10)</f>
        <v>#VALUE!</v>
      </c>
      <c r="E14" s="193" t="s">
        <v>612</v>
      </c>
    </row>
    <row r="15" spans="1:5" x14ac:dyDescent="0.25">
      <c r="A15" s="191" t="s">
        <v>493</v>
      </c>
      <c r="B15" s="193" t="e">
        <f>IF(C15="keine Angaben",C15,VLOOKUP(C15,Table2[[Quelle]:[Heizsystem (Übersetzung)]],2,FALSE))</f>
        <v>#VALUE!</v>
      </c>
      <c r="C15" s="193" t="e">
        <f>IF(D15="null","keine Angaben",VLOOKUP(_xlfn.NUMBERVALUE(D15),Table2[],2,FALSE))</f>
        <v>#VALUE!</v>
      </c>
      <c r="D15" s="193" t="e">
        <f>MID(B6,SEARCH("genh2: ",B6)+7,SEARCH(", gwaersceh2",B6)-SEARCH("genh2: ",B6)-7)</f>
        <v>#VALUE!</v>
      </c>
      <c r="E15" s="193" t="s">
        <v>614</v>
      </c>
    </row>
    <row r="16" spans="1:5" x14ac:dyDescent="0.25">
      <c r="A16" s="191" t="s">
        <v>546</v>
      </c>
      <c r="B16" s="193" t="e">
        <f>C16</f>
        <v>#VALUE!</v>
      </c>
      <c r="C16" s="193" t="e">
        <f>IF(D16="null","keine Angaben",VLOOKUP(_xlfn.NUMBERVALUE(D16),Table242[],2,FALSE))</f>
        <v>#VALUE!</v>
      </c>
      <c r="D16" s="193" t="e">
        <f>MID(B6,SEARCH("gwaerzw2: ",B6)+10,SEARCH(", genw2",B6)-SEARCH("gwaerzw2: ",B6)-10)</f>
        <v>#VALUE!</v>
      </c>
      <c r="E16" s="193" t="s">
        <v>616</v>
      </c>
    </row>
    <row r="17" spans="1:6" x14ac:dyDescent="0.25">
      <c r="A17" s="191" t="s">
        <v>546</v>
      </c>
      <c r="B17" s="193" t="e">
        <f>IF(C17="keine Angaben",C17,VLOOKUP(C17,Table2[[Quelle]:[Heizsystem (Übersetzung)]],2,FALSE))</f>
        <v>#VALUE!</v>
      </c>
      <c r="C17" s="193" t="e">
        <f>IF(D17="null","keine Angaben",VLOOKUP(_xlfn.NUMBERVALUE(D17),Table2[],2,FALSE))</f>
        <v>#VALUE!</v>
      </c>
      <c r="D17" s="193" t="e">
        <f>MID(B6,SEARCH("genw2: ",B6)+7,SEARCH(", gwaerscew2",B6)-SEARCH("genw2: ",B6)-7)</f>
        <v>#VALUE!</v>
      </c>
      <c r="E17" s="193" t="s">
        <v>618</v>
      </c>
    </row>
    <row r="19" spans="1:6" x14ac:dyDescent="0.25">
      <c r="A19" s="184" t="s">
        <v>602</v>
      </c>
    </row>
    <row r="20" spans="1:6" x14ac:dyDescent="0.25">
      <c r="A20" s="184"/>
    </row>
    <row r="21" spans="1:6" x14ac:dyDescent="0.25">
      <c r="A21" s="190" t="s">
        <v>621</v>
      </c>
      <c r="D21" s="190" t="s">
        <v>601</v>
      </c>
    </row>
    <row r="22" spans="1:6" x14ac:dyDescent="0.25">
      <c r="A22" s="190" t="s">
        <v>496</v>
      </c>
      <c r="B22" s="190" t="s">
        <v>577</v>
      </c>
      <c r="C22" s="190"/>
      <c r="D22" s="190" t="s">
        <v>496</v>
      </c>
      <c r="E22" s="190" t="s">
        <v>79</v>
      </c>
      <c r="F22" s="190" t="s">
        <v>596</v>
      </c>
    </row>
    <row r="23" spans="1:6" x14ac:dyDescent="0.25">
      <c r="A23" s="184">
        <v>7400</v>
      </c>
      <c r="B23" s="184" t="s">
        <v>578</v>
      </c>
      <c r="C23" s="184"/>
      <c r="D23" s="184">
        <v>7500</v>
      </c>
      <c r="E23" s="184" t="s">
        <v>497</v>
      </c>
      <c r="F23" s="184" t="s">
        <v>497</v>
      </c>
    </row>
    <row r="24" spans="1:6" x14ac:dyDescent="0.25">
      <c r="A24" s="184">
        <v>7410</v>
      </c>
      <c r="B24" s="184" t="s">
        <v>579</v>
      </c>
      <c r="C24" s="184"/>
      <c r="D24" s="184">
        <v>7501</v>
      </c>
      <c r="E24" s="184" t="s">
        <v>498</v>
      </c>
      <c r="F24" s="184" t="s">
        <v>499</v>
      </c>
    </row>
    <row r="25" spans="1:6" x14ac:dyDescent="0.25">
      <c r="A25" s="184">
        <v>7411</v>
      </c>
      <c r="B25" s="184" t="s">
        <v>580</v>
      </c>
      <c r="C25" s="184"/>
      <c r="D25" s="184">
        <v>7510</v>
      </c>
      <c r="E25" s="184" t="s">
        <v>500</v>
      </c>
      <c r="F25" s="184" t="s">
        <v>501</v>
      </c>
    </row>
    <row r="26" spans="1:6" x14ac:dyDescent="0.25">
      <c r="A26" s="184">
        <v>7420</v>
      </c>
      <c r="B26" s="184" t="s">
        <v>581</v>
      </c>
      <c r="C26" s="184"/>
      <c r="D26" s="184">
        <v>7511</v>
      </c>
      <c r="E26" s="184" t="s">
        <v>502</v>
      </c>
      <c r="F26" s="184" t="s">
        <v>501</v>
      </c>
    </row>
    <row r="27" spans="1:6" x14ac:dyDescent="0.25">
      <c r="A27" s="184">
        <v>7421</v>
      </c>
      <c r="B27" s="184" t="s">
        <v>582</v>
      </c>
      <c r="C27" s="184"/>
      <c r="D27" s="184">
        <v>7512</v>
      </c>
      <c r="E27" s="184" t="s">
        <v>505</v>
      </c>
      <c r="F27" s="184" t="s">
        <v>501</v>
      </c>
    </row>
    <row r="28" spans="1:6" x14ac:dyDescent="0.25">
      <c r="A28" s="184">
        <v>7430</v>
      </c>
      <c r="B28" s="184" t="s">
        <v>583</v>
      </c>
      <c r="C28" s="184"/>
      <c r="D28" s="184">
        <v>7513</v>
      </c>
      <c r="E28" s="184" t="s">
        <v>506</v>
      </c>
      <c r="F28" s="184" t="s">
        <v>519</v>
      </c>
    </row>
    <row r="29" spans="1:6" x14ac:dyDescent="0.25">
      <c r="A29" s="184">
        <v>7431</v>
      </c>
      <c r="B29" s="184" t="s">
        <v>584</v>
      </c>
      <c r="C29" s="184"/>
      <c r="D29" s="184">
        <v>7520</v>
      </c>
      <c r="E29" s="184" t="s">
        <v>507</v>
      </c>
      <c r="F29" s="184" t="s">
        <v>59</v>
      </c>
    </row>
    <row r="30" spans="1:6" x14ac:dyDescent="0.25">
      <c r="A30" s="184">
        <v>7432</v>
      </c>
      <c r="B30" s="184" t="s">
        <v>585</v>
      </c>
      <c r="C30" s="184"/>
      <c r="D30" s="184">
        <v>7530</v>
      </c>
      <c r="E30" s="184" t="s">
        <v>508</v>
      </c>
      <c r="F30" s="184" t="s">
        <v>520</v>
      </c>
    </row>
    <row r="31" spans="1:6" x14ac:dyDescent="0.25">
      <c r="A31" s="184">
        <v>7433</v>
      </c>
      <c r="B31" s="184" t="s">
        <v>586</v>
      </c>
      <c r="C31" s="184"/>
      <c r="D31" s="184">
        <v>7540</v>
      </c>
      <c r="E31" s="184" t="s">
        <v>509</v>
      </c>
      <c r="F31" s="184" t="s">
        <v>521</v>
      </c>
    </row>
    <row r="32" spans="1:6" x14ac:dyDescent="0.25">
      <c r="A32" s="184">
        <v>7434</v>
      </c>
      <c r="B32" s="184" t="s">
        <v>587</v>
      </c>
      <c r="C32" s="184"/>
      <c r="D32" s="184">
        <v>7541</v>
      </c>
      <c r="E32" s="184" t="s">
        <v>510</v>
      </c>
      <c r="F32" s="184" t="s">
        <v>522</v>
      </c>
    </row>
    <row r="33" spans="1:6" x14ac:dyDescent="0.25">
      <c r="A33" s="184">
        <v>7435</v>
      </c>
      <c r="B33" s="184" t="s">
        <v>588</v>
      </c>
      <c r="C33" s="184"/>
      <c r="D33" s="184">
        <v>7542</v>
      </c>
      <c r="E33" s="184" t="s">
        <v>511</v>
      </c>
      <c r="F33" s="184" t="s">
        <v>523</v>
      </c>
    </row>
    <row r="34" spans="1:6" x14ac:dyDescent="0.25">
      <c r="A34" s="184">
        <v>7436</v>
      </c>
      <c r="B34" s="184" t="s">
        <v>589</v>
      </c>
      <c r="C34" s="184"/>
      <c r="D34" s="184">
        <v>7543</v>
      </c>
      <c r="E34" s="184" t="s">
        <v>512</v>
      </c>
      <c r="F34" s="184" t="s">
        <v>524</v>
      </c>
    </row>
    <row r="35" spans="1:6" x14ac:dyDescent="0.25">
      <c r="A35" s="184">
        <v>7440</v>
      </c>
      <c r="B35" s="184" t="s">
        <v>590</v>
      </c>
      <c r="C35" s="184"/>
      <c r="D35" s="184">
        <v>7550</v>
      </c>
      <c r="E35" s="184" t="s">
        <v>513</v>
      </c>
      <c r="F35" s="184" t="s">
        <v>525</v>
      </c>
    </row>
    <row r="36" spans="1:6" x14ac:dyDescent="0.25">
      <c r="A36" s="184">
        <v>7441</v>
      </c>
      <c r="B36" s="184" t="s">
        <v>591</v>
      </c>
      <c r="C36" s="184"/>
      <c r="D36" s="184">
        <v>7560</v>
      </c>
      <c r="E36" s="184" t="s">
        <v>514</v>
      </c>
      <c r="F36" s="184" t="s">
        <v>526</v>
      </c>
    </row>
    <row r="37" spans="1:6" x14ac:dyDescent="0.25">
      <c r="A37" s="184">
        <v>7450</v>
      </c>
      <c r="B37" s="184" t="s">
        <v>592</v>
      </c>
      <c r="C37" s="184"/>
      <c r="D37" s="184">
        <v>7570</v>
      </c>
      <c r="E37" s="184" t="s">
        <v>515</v>
      </c>
      <c r="F37" s="184" t="s">
        <v>527</v>
      </c>
    </row>
    <row r="38" spans="1:6" x14ac:dyDescent="0.25">
      <c r="A38" s="184">
        <v>7451</v>
      </c>
      <c r="B38" s="184" t="s">
        <v>593</v>
      </c>
      <c r="C38" s="184"/>
      <c r="D38" s="184">
        <v>7580</v>
      </c>
      <c r="E38" s="184" t="s">
        <v>516</v>
      </c>
      <c r="F38" s="184" t="s">
        <v>62</v>
      </c>
    </row>
    <row r="39" spans="1:6" x14ac:dyDescent="0.25">
      <c r="A39" s="184">
        <v>7452</v>
      </c>
      <c r="B39" s="184" t="s">
        <v>140</v>
      </c>
      <c r="C39" s="184"/>
      <c r="D39" s="184">
        <v>7581</v>
      </c>
      <c r="E39" s="184" t="s">
        <v>517</v>
      </c>
      <c r="F39" s="184" t="s">
        <v>62</v>
      </c>
    </row>
    <row r="40" spans="1:6" x14ac:dyDescent="0.25">
      <c r="A40" s="184">
        <v>7460</v>
      </c>
      <c r="B40" s="184" t="s">
        <v>594</v>
      </c>
      <c r="C40" s="184"/>
      <c r="D40" s="184">
        <v>7582</v>
      </c>
      <c r="E40" s="184" t="s">
        <v>518</v>
      </c>
      <c r="F40" s="184" t="s">
        <v>62</v>
      </c>
    </row>
    <row r="41" spans="1:6" x14ac:dyDescent="0.25">
      <c r="A41" s="184">
        <v>7461</v>
      </c>
      <c r="B41" s="184" t="s">
        <v>595</v>
      </c>
      <c r="C41" s="184"/>
      <c r="D41" s="184">
        <v>7598</v>
      </c>
      <c r="E41" s="184" t="s">
        <v>504</v>
      </c>
      <c r="F41" s="184" t="s">
        <v>528</v>
      </c>
    </row>
    <row r="42" spans="1:6" x14ac:dyDescent="0.25">
      <c r="A42" s="184">
        <v>7499</v>
      </c>
      <c r="B42" s="184" t="s">
        <v>503</v>
      </c>
      <c r="C42" s="184"/>
      <c r="D42" s="184">
        <v>7599</v>
      </c>
      <c r="E42" s="184" t="s">
        <v>503</v>
      </c>
      <c r="F42" s="184" t="s">
        <v>503</v>
      </c>
    </row>
    <row r="43" spans="1:6" x14ac:dyDescent="0.25">
      <c r="A43" s="172"/>
      <c r="B43" s="172"/>
      <c r="C43" s="172"/>
    </row>
    <row r="44" spans="1:6" x14ac:dyDescent="0.25">
      <c r="A44" s="190" t="s">
        <v>622</v>
      </c>
    </row>
    <row r="45" spans="1:6" x14ac:dyDescent="0.25">
      <c r="A45" s="190" t="s">
        <v>496</v>
      </c>
      <c r="B45" s="190" t="s">
        <v>577</v>
      </c>
    </row>
    <row r="46" spans="1:6" x14ac:dyDescent="0.25">
      <c r="A46" s="184">
        <v>7600</v>
      </c>
      <c r="B46" s="184" t="s">
        <v>578</v>
      </c>
    </row>
    <row r="47" spans="1:6" x14ac:dyDescent="0.25">
      <c r="A47" s="184">
        <v>7610</v>
      </c>
      <c r="B47" s="184" t="s">
        <v>623</v>
      </c>
    </row>
    <row r="48" spans="1:6" x14ac:dyDescent="0.25">
      <c r="A48" s="184">
        <v>7620</v>
      </c>
      <c r="B48" s="184" t="s">
        <v>527</v>
      </c>
    </row>
    <row r="49" spans="1:2" x14ac:dyDescent="0.25">
      <c r="A49" s="184">
        <v>7630</v>
      </c>
      <c r="B49" s="184" t="s">
        <v>624</v>
      </c>
    </row>
    <row r="50" spans="1:2" x14ac:dyDescent="0.25">
      <c r="A50" s="184">
        <v>7632</v>
      </c>
      <c r="B50" s="184" t="s">
        <v>625</v>
      </c>
    </row>
    <row r="51" spans="1:2" x14ac:dyDescent="0.25">
      <c r="A51" s="184">
        <v>7634</v>
      </c>
      <c r="B51" s="184" t="s">
        <v>626</v>
      </c>
    </row>
    <row r="52" spans="1:2" x14ac:dyDescent="0.25">
      <c r="A52" s="184">
        <v>7640</v>
      </c>
      <c r="B52" s="184" t="s">
        <v>627</v>
      </c>
    </row>
    <row r="53" spans="1:2" x14ac:dyDescent="0.25">
      <c r="A53" s="184">
        <v>7650</v>
      </c>
      <c r="B53" s="184" t="s">
        <v>628</v>
      </c>
    </row>
    <row r="54" spans="1:2" x14ac:dyDescent="0.25">
      <c r="A54" s="184">
        <v>7651</v>
      </c>
      <c r="B54" s="184" t="s">
        <v>629</v>
      </c>
    </row>
    <row r="55" spans="1:2" x14ac:dyDescent="0.25">
      <c r="A55" s="184">
        <v>7660</v>
      </c>
      <c r="B55" s="184" t="s">
        <v>630</v>
      </c>
    </row>
    <row r="56" spans="1:2" x14ac:dyDescent="0.25">
      <c r="A56" s="184">
        <v>7699</v>
      </c>
      <c r="B56" s="184" t="s">
        <v>503</v>
      </c>
    </row>
  </sheetData>
  <sheetProtection algorithmName="SHA-512" hashValue="cc9j65YDWjFTzmeThnXjf5gUXqyW+sfDx2djcDYsjVY735LZeo2Y51GL2d3M3a6jCn27pMTYf8pznEGfkL01Eg==" saltValue="WZBaIJ1tcLYIXbjFPmbhqw==" spinCount="100000" sheet="1" objects="1" scenarios="1"/>
  <phoneticPr fontId="58" type="noConversion"/>
  <conditionalFormatting sqref="B2">
    <cfRule type="expression" dxfId="26" priority="3">
      <formula>IF(B2="Adresse nicht eindeutig",TRUE,FALSE)</formula>
    </cfRule>
  </conditionalFormatting>
  <pageMargins left="0.7" right="0.7" top="0.75" bottom="0.75" header="0.3" footer="0.3"/>
  <pageSetup paperSize="9" orientation="portrait" verticalDpi="0"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pageSetUpPr fitToPage="1"/>
  </sheetPr>
  <dimension ref="A1:T131"/>
  <sheetViews>
    <sheetView topLeftCell="A89" zoomScaleNormal="100" workbookViewId="0">
      <selection activeCell="H17" sqref="H17:M17"/>
    </sheetView>
  </sheetViews>
  <sheetFormatPr baseColWidth="10" defaultColWidth="11.42578125" defaultRowHeight="12" x14ac:dyDescent="0.2"/>
  <cols>
    <col min="1" max="1" width="9.140625" style="3" bestFit="1" customWidth="1"/>
    <col min="2" max="2" width="48.28515625" style="3" bestFit="1" customWidth="1"/>
    <col min="3" max="3" width="30.42578125" style="3" bestFit="1" customWidth="1"/>
    <col min="4" max="4" width="26.5703125" style="3" bestFit="1" customWidth="1"/>
    <col min="5" max="5" width="25.42578125" style="3" bestFit="1" customWidth="1"/>
    <col min="6" max="6" width="18.28515625" style="3" bestFit="1" customWidth="1"/>
    <col min="7" max="7" width="20.5703125" style="3" bestFit="1" customWidth="1"/>
    <col min="8" max="9" width="15.5703125" style="3" customWidth="1"/>
    <col min="10" max="16384" width="11.42578125" style="3"/>
  </cols>
  <sheetData>
    <row r="1" spans="1:20" ht="25.5" x14ac:dyDescent="0.2">
      <c r="A1" s="22" t="s">
        <v>249</v>
      </c>
      <c r="B1" s="14" t="s">
        <v>76</v>
      </c>
      <c r="C1" s="14" t="s">
        <v>250</v>
      </c>
      <c r="D1" s="14" t="s">
        <v>374</v>
      </c>
      <c r="E1" s="12"/>
      <c r="F1" s="12"/>
      <c r="G1" s="12"/>
      <c r="H1" s="12"/>
      <c r="I1" s="12"/>
      <c r="J1" s="12"/>
      <c r="K1" s="12"/>
      <c r="L1" s="12"/>
      <c r="M1" s="12"/>
      <c r="N1" s="12"/>
      <c r="O1" s="12"/>
      <c r="P1" s="12"/>
      <c r="Q1" s="12"/>
      <c r="R1" s="12"/>
      <c r="S1" s="12"/>
      <c r="T1" s="12"/>
    </row>
    <row r="2" spans="1:20" x14ac:dyDescent="0.2">
      <c r="A2" s="13"/>
    </row>
    <row r="3" spans="1:20" x14ac:dyDescent="0.2">
      <c r="A3" s="13"/>
      <c r="B3" s="3" t="s">
        <v>7</v>
      </c>
      <c r="C3" s="3" t="s">
        <v>252</v>
      </c>
      <c r="D3" s="3">
        <v>21</v>
      </c>
    </row>
    <row r="4" spans="1:20" x14ac:dyDescent="0.2">
      <c r="A4" s="13"/>
      <c r="B4" s="3" t="s">
        <v>2</v>
      </c>
      <c r="C4" s="3" t="s">
        <v>251</v>
      </c>
      <c r="D4" s="3">
        <v>14</v>
      </c>
    </row>
    <row r="5" spans="1:20" x14ac:dyDescent="0.2">
      <c r="A5" s="13"/>
      <c r="B5" s="3" t="s">
        <v>8</v>
      </c>
      <c r="C5" s="3" t="s">
        <v>254</v>
      </c>
      <c r="D5" s="3">
        <v>7</v>
      </c>
    </row>
    <row r="6" spans="1:20" x14ac:dyDescent="0.2">
      <c r="A6" s="13"/>
      <c r="B6" s="3" t="s">
        <v>9</v>
      </c>
      <c r="C6" s="3" t="s">
        <v>254</v>
      </c>
      <c r="D6" s="3">
        <v>7</v>
      </c>
    </row>
    <row r="7" spans="1:20" x14ac:dyDescent="0.2">
      <c r="A7" s="13"/>
      <c r="B7" s="3" t="s">
        <v>10</v>
      </c>
      <c r="C7" s="3" t="s">
        <v>254</v>
      </c>
      <c r="D7" s="3">
        <v>7</v>
      </c>
    </row>
    <row r="8" spans="1:20" x14ac:dyDescent="0.2">
      <c r="A8" s="13"/>
      <c r="B8" s="3" t="s">
        <v>11</v>
      </c>
      <c r="C8" s="3" t="s">
        <v>254</v>
      </c>
      <c r="D8" s="3">
        <v>56</v>
      </c>
    </row>
    <row r="9" spans="1:20" x14ac:dyDescent="0.2">
      <c r="A9" s="13"/>
      <c r="B9" s="3" t="s">
        <v>12</v>
      </c>
      <c r="C9" s="3" t="s">
        <v>254</v>
      </c>
      <c r="D9" s="3">
        <v>14</v>
      </c>
    </row>
    <row r="10" spans="1:20" x14ac:dyDescent="0.2">
      <c r="A10" s="13"/>
      <c r="B10" s="3" t="s">
        <v>13</v>
      </c>
      <c r="C10" s="3" t="s">
        <v>254</v>
      </c>
      <c r="D10" s="3">
        <v>28</v>
      </c>
    </row>
    <row r="11" spans="1:20" x14ac:dyDescent="0.2">
      <c r="A11" s="13"/>
      <c r="B11" s="3" t="s">
        <v>14</v>
      </c>
      <c r="C11" s="3" t="s">
        <v>254</v>
      </c>
      <c r="D11" s="3">
        <v>7</v>
      </c>
    </row>
    <row r="12" spans="1:20" x14ac:dyDescent="0.2">
      <c r="A12" s="13"/>
      <c r="B12" s="3" t="s">
        <v>15</v>
      </c>
      <c r="C12" s="3" t="s">
        <v>254</v>
      </c>
      <c r="D12" s="3">
        <v>1</v>
      </c>
    </row>
    <row r="13" spans="1:20" x14ac:dyDescent="0.2">
      <c r="A13" s="13"/>
      <c r="B13" s="3" t="s">
        <v>16</v>
      </c>
      <c r="C13" s="3" t="s">
        <v>254</v>
      </c>
      <c r="D13" s="3">
        <v>83</v>
      </c>
    </row>
    <row r="14" spans="1:20" x14ac:dyDescent="0.2">
      <c r="A14" s="13"/>
      <c r="B14" s="3" t="s">
        <v>17</v>
      </c>
      <c r="C14" s="3" t="s">
        <v>254</v>
      </c>
      <c r="D14" s="3">
        <v>83</v>
      </c>
    </row>
    <row r="15" spans="1:20" x14ac:dyDescent="0.2">
      <c r="A15" s="13"/>
    </row>
    <row r="16" spans="1:20" s="24" customFormat="1" x14ac:dyDescent="0.2">
      <c r="A16" s="23">
        <v>1.6</v>
      </c>
      <c r="B16" s="24" t="s">
        <v>5</v>
      </c>
    </row>
    <row r="17" spans="1:5" x14ac:dyDescent="0.2">
      <c r="A17" s="13"/>
      <c r="B17" s="1" t="s">
        <v>218</v>
      </c>
      <c r="C17" s="1">
        <v>3440</v>
      </c>
      <c r="D17" s="1" t="s">
        <v>555</v>
      </c>
      <c r="E17" s="1"/>
    </row>
    <row r="18" spans="1:5" x14ac:dyDescent="0.2">
      <c r="A18" s="13"/>
      <c r="B18" s="1" t="s">
        <v>20</v>
      </c>
      <c r="C18" s="1">
        <v>16</v>
      </c>
      <c r="D18" s="1" t="s">
        <v>21</v>
      </c>
      <c r="E18" s="1"/>
    </row>
    <row r="19" spans="1:5" x14ac:dyDescent="0.2">
      <c r="A19" s="13"/>
      <c r="B19" s="1" t="s">
        <v>22</v>
      </c>
      <c r="C19" s="1">
        <v>20</v>
      </c>
      <c r="D19" s="1" t="s">
        <v>23</v>
      </c>
      <c r="E19" s="1"/>
    </row>
    <row r="20" spans="1:5" x14ac:dyDescent="0.2">
      <c r="A20" s="13"/>
      <c r="B20" s="1" t="s">
        <v>24</v>
      </c>
      <c r="C20" s="1">
        <v>-8</v>
      </c>
      <c r="D20" s="1" t="s">
        <v>23</v>
      </c>
      <c r="E20" s="1"/>
    </row>
    <row r="21" spans="1:5" x14ac:dyDescent="0.2">
      <c r="A21" s="13"/>
    </row>
    <row r="22" spans="1:5" s="24" customFormat="1" x14ac:dyDescent="0.2">
      <c r="A22" s="25">
        <v>1.7</v>
      </c>
      <c r="B22" s="26" t="s">
        <v>112</v>
      </c>
    </row>
    <row r="23" spans="1:5" x14ac:dyDescent="0.2">
      <c r="A23" s="13"/>
    </row>
    <row r="24" spans="1:5" x14ac:dyDescent="0.2">
      <c r="A24" s="13"/>
      <c r="B24" s="3" t="s">
        <v>83</v>
      </c>
    </row>
    <row r="25" spans="1:5" x14ac:dyDescent="0.2">
      <c r="A25" s="13"/>
      <c r="B25" s="3" t="s">
        <v>84</v>
      </c>
    </row>
    <row r="26" spans="1:5" x14ac:dyDescent="0.2">
      <c r="A26" s="13"/>
    </row>
    <row r="27" spans="1:5" s="24" customFormat="1" x14ac:dyDescent="0.2">
      <c r="A27" s="23">
        <v>1.8</v>
      </c>
      <c r="B27" s="24" t="s">
        <v>113</v>
      </c>
    </row>
    <row r="28" spans="1:5" x14ac:dyDescent="0.2">
      <c r="A28" s="13"/>
    </row>
    <row r="29" spans="1:5" x14ac:dyDescent="0.2">
      <c r="A29" s="13"/>
      <c r="B29" s="3" t="s">
        <v>380</v>
      </c>
    </row>
    <row r="30" spans="1:5" x14ac:dyDescent="0.2">
      <c r="A30" s="13"/>
      <c r="B30" s="3" t="s">
        <v>378</v>
      </c>
    </row>
    <row r="31" spans="1:5" x14ac:dyDescent="0.2">
      <c r="A31" s="13"/>
      <c r="B31" s="3" t="s">
        <v>211</v>
      </c>
    </row>
    <row r="32" spans="1:5" s="24" customFormat="1" x14ac:dyDescent="0.2"/>
    <row r="33" spans="1:2" s="48" customFormat="1" hidden="1" x14ac:dyDescent="0.2">
      <c r="A33" s="46">
        <v>1.8</v>
      </c>
      <c r="B33" s="47" t="s">
        <v>18</v>
      </c>
    </row>
    <row r="34" spans="1:2" s="48" customFormat="1" hidden="1" x14ac:dyDescent="0.2">
      <c r="A34" s="49"/>
    </row>
    <row r="35" spans="1:2" s="48" customFormat="1" hidden="1" x14ac:dyDescent="0.2">
      <c r="A35" s="49"/>
      <c r="B35" s="48" t="s">
        <v>19</v>
      </c>
    </row>
    <row r="36" spans="1:2" s="48" customFormat="1" hidden="1" x14ac:dyDescent="0.2">
      <c r="A36" s="49"/>
      <c r="B36" s="48" t="s">
        <v>3</v>
      </c>
    </row>
    <row r="37" spans="1:2" hidden="1" x14ac:dyDescent="0.2">
      <c r="A37" s="13"/>
    </row>
    <row r="38" spans="1:2" s="24" customFormat="1" x14ac:dyDescent="0.2">
      <c r="A38" s="24">
        <v>2</v>
      </c>
      <c r="B38" s="24" t="s">
        <v>54</v>
      </c>
    </row>
    <row r="39" spans="1:2" x14ac:dyDescent="0.2">
      <c r="A39" s="13"/>
    </row>
    <row r="40" spans="1:2" x14ac:dyDescent="0.2">
      <c r="A40" s="13"/>
      <c r="B40" s="3" t="s">
        <v>259</v>
      </c>
    </row>
    <row r="41" spans="1:2" x14ac:dyDescent="0.2">
      <c r="A41" s="13"/>
      <c r="B41" s="3" t="s">
        <v>258</v>
      </c>
    </row>
    <row r="42" spans="1:2" x14ac:dyDescent="0.2">
      <c r="A42" s="13"/>
      <c r="B42" s="3" t="s">
        <v>57</v>
      </c>
    </row>
    <row r="43" spans="1:2" x14ac:dyDescent="0.2">
      <c r="A43" s="13"/>
      <c r="B43" s="3" t="s">
        <v>58</v>
      </c>
    </row>
    <row r="44" spans="1:2" x14ac:dyDescent="0.2">
      <c r="A44" s="13"/>
      <c r="B44" s="3" t="s">
        <v>55</v>
      </c>
    </row>
    <row r="45" spans="1:2" x14ac:dyDescent="0.2">
      <c r="A45" s="13"/>
      <c r="B45" s="3" t="s">
        <v>56</v>
      </c>
    </row>
    <row r="46" spans="1:2" x14ac:dyDescent="0.2">
      <c r="A46" s="13"/>
    </row>
    <row r="47" spans="1:2" x14ac:dyDescent="0.2">
      <c r="A47" s="13"/>
      <c r="B47" s="3" t="s">
        <v>59</v>
      </c>
    </row>
    <row r="48" spans="1:2" x14ac:dyDescent="0.2">
      <c r="A48" s="13"/>
    </row>
    <row r="49" spans="1:20" s="24" customFormat="1" ht="39" customHeight="1" x14ac:dyDescent="0.2">
      <c r="A49" s="22" t="s">
        <v>99</v>
      </c>
      <c r="B49" s="14" t="s">
        <v>219</v>
      </c>
      <c r="C49" s="36" t="s">
        <v>74</v>
      </c>
      <c r="D49" s="36" t="s">
        <v>209</v>
      </c>
      <c r="E49" s="14" t="s">
        <v>75</v>
      </c>
      <c r="F49" s="14" t="s">
        <v>100</v>
      </c>
      <c r="G49" s="14"/>
      <c r="H49" s="14"/>
      <c r="I49" s="14"/>
      <c r="J49" s="14"/>
      <c r="K49" s="14"/>
      <c r="L49" s="14"/>
      <c r="M49" s="14"/>
      <c r="N49" s="14"/>
      <c r="O49" s="14"/>
      <c r="P49" s="14"/>
      <c r="Q49" s="14"/>
      <c r="R49" s="14"/>
      <c r="S49" s="14"/>
      <c r="T49" s="14"/>
    </row>
    <row r="50" spans="1:20" x14ac:dyDescent="0.2">
      <c r="A50" s="13"/>
      <c r="B50" s="3" t="s">
        <v>62</v>
      </c>
      <c r="C50" s="1">
        <f t="shared" ref="C50:C58" si="0">VLOOKUP(B50,Nutzungsgrad_Tabelle,4,FALSE)</f>
        <v>1</v>
      </c>
      <c r="D50" s="1">
        <f t="shared" ref="D50:D58" si="1">VLOOKUP(B50,Nutzungsgrad_Tabelle,5,FALSE)</f>
        <v>1</v>
      </c>
      <c r="E50" s="5" t="s">
        <v>120</v>
      </c>
      <c r="F50" s="3">
        <v>1</v>
      </c>
    </row>
    <row r="51" spans="1:20" x14ac:dyDescent="0.2">
      <c r="A51" s="13"/>
      <c r="B51" s="3" t="s">
        <v>259</v>
      </c>
      <c r="C51" s="1">
        <f t="shared" si="0"/>
        <v>2.5</v>
      </c>
      <c r="D51" s="1">
        <f t="shared" si="1"/>
        <v>6</v>
      </c>
      <c r="E51" s="29">
        <f>VLOOKUP(IF(Berechnung!L12="",Berechnung!J12,Berechnung!L12),Strompreis_ref,3)</f>
        <v>21.125442500000002</v>
      </c>
      <c r="F51" s="3">
        <v>1</v>
      </c>
    </row>
    <row r="52" spans="1:20" x14ac:dyDescent="0.2">
      <c r="A52" s="13"/>
      <c r="B52" s="3" t="s">
        <v>258</v>
      </c>
      <c r="C52" s="1">
        <f t="shared" si="0"/>
        <v>2.5</v>
      </c>
      <c r="D52" s="1">
        <f t="shared" si="1"/>
        <v>6</v>
      </c>
      <c r="E52" s="29">
        <f>VLOOKUP(IF(Berechnung!L12="",Berechnung!J12,Berechnung!L12),Strompreis_ref,3)</f>
        <v>21.125442500000002</v>
      </c>
      <c r="F52" s="3">
        <v>1</v>
      </c>
    </row>
    <row r="53" spans="1:20" x14ac:dyDescent="0.2">
      <c r="A53" s="13"/>
      <c r="B53" s="3" t="s">
        <v>57</v>
      </c>
      <c r="C53" s="1">
        <f t="shared" si="0"/>
        <v>3.5</v>
      </c>
      <c r="D53" s="1">
        <f t="shared" si="1"/>
        <v>10</v>
      </c>
      <c r="E53" s="29">
        <f>VLOOKUP(IF(Berechnung!L12="",Berechnung!J12,Berechnung!L12),Strompreis_ref,3)</f>
        <v>21.125442500000002</v>
      </c>
      <c r="F53" s="3">
        <v>1</v>
      </c>
    </row>
    <row r="54" spans="1:20" x14ac:dyDescent="0.2">
      <c r="A54" s="13"/>
      <c r="B54" s="3" t="s">
        <v>58</v>
      </c>
      <c r="C54" s="1">
        <f t="shared" si="0"/>
        <v>3.5</v>
      </c>
      <c r="D54" s="1">
        <f t="shared" si="1"/>
        <v>10</v>
      </c>
      <c r="E54" s="29">
        <f>VLOOKUP(IF(Berechnung!L12="",Berechnung!J12,Berechnung!L12),Strompreis_ref,3)</f>
        <v>21.125442500000002</v>
      </c>
      <c r="F54" s="3">
        <v>1</v>
      </c>
    </row>
    <row r="55" spans="1:20" x14ac:dyDescent="0.2">
      <c r="A55" s="13"/>
      <c r="B55" s="3" t="s">
        <v>55</v>
      </c>
      <c r="C55" s="1">
        <f t="shared" si="0"/>
        <v>0.85</v>
      </c>
      <c r="D55" s="1">
        <f t="shared" si="1"/>
        <v>0.9</v>
      </c>
      <c r="E55" s="29">
        <f>'2.3 Energiepreise'!D52</f>
        <v>9.2732727393748533</v>
      </c>
      <c r="F55" s="3">
        <v>3</v>
      </c>
    </row>
    <row r="56" spans="1:20" x14ac:dyDescent="0.2">
      <c r="A56" s="13"/>
      <c r="B56" s="3" t="s">
        <v>56</v>
      </c>
      <c r="C56" s="1">
        <f t="shared" si="0"/>
        <v>0.75</v>
      </c>
      <c r="D56" s="1">
        <f t="shared" si="1"/>
        <v>0.9</v>
      </c>
      <c r="E56" s="29">
        <f>'2.3 Energiepreise'!D59</f>
        <v>6.8432081526452739</v>
      </c>
      <c r="F56" s="3">
        <v>3</v>
      </c>
    </row>
    <row r="57" spans="1:20" x14ac:dyDescent="0.2">
      <c r="A57" s="13"/>
      <c r="B57" s="3" t="s">
        <v>29</v>
      </c>
      <c r="C57" s="1">
        <f t="shared" si="0"/>
        <v>0.85</v>
      </c>
      <c r="D57" s="1">
        <f t="shared" si="1"/>
        <v>0.92</v>
      </c>
      <c r="E57" s="5">
        <f>'2.3 Energiepreise'!D66</f>
        <v>10.728141938134533</v>
      </c>
      <c r="F57" s="3">
        <v>2</v>
      </c>
    </row>
    <row r="58" spans="1:20" x14ac:dyDescent="0.2">
      <c r="A58" s="13"/>
      <c r="B58" s="3" t="s">
        <v>59</v>
      </c>
      <c r="C58" s="1">
        <f t="shared" si="0"/>
        <v>0.85</v>
      </c>
      <c r="D58" s="1">
        <f t="shared" si="1"/>
        <v>0.95</v>
      </c>
      <c r="E58" s="29">
        <f>'2.3 Energiepreise'!D72*100</f>
        <v>13.413831566078613</v>
      </c>
      <c r="F58" s="3">
        <v>2</v>
      </c>
    </row>
    <row r="59" spans="1:20" hidden="1" x14ac:dyDescent="0.2">
      <c r="A59" s="13"/>
      <c r="B59" s="3" t="s">
        <v>60</v>
      </c>
      <c r="C59" s="1">
        <f>'2.1 Nutzungsgrad'!E7</f>
        <v>0.85</v>
      </c>
      <c r="D59" s="1">
        <f>'2.1 Nutzungsgrad'!F7</f>
        <v>0.95</v>
      </c>
      <c r="E59" s="29">
        <f>'2.3 Energiepreise'!D72*100</f>
        <v>13.413831566078613</v>
      </c>
      <c r="F59" s="1">
        <v>2</v>
      </c>
    </row>
    <row r="60" spans="1:20" hidden="1" x14ac:dyDescent="0.2">
      <c r="A60" s="13"/>
      <c r="B60" s="3" t="s">
        <v>61</v>
      </c>
      <c r="C60" s="1">
        <f>'2.1 Nutzungsgrad'!E7</f>
        <v>0.85</v>
      </c>
      <c r="D60" s="1">
        <f>'2.1 Nutzungsgrad'!F7</f>
        <v>0.95</v>
      </c>
      <c r="E60" s="29">
        <f>'2.3 Energiepreise'!D72*100</f>
        <v>13.413831566078613</v>
      </c>
      <c r="F60" s="1">
        <v>2</v>
      </c>
    </row>
    <row r="61" spans="1:20" x14ac:dyDescent="0.2">
      <c r="A61" s="13"/>
      <c r="D61" s="5"/>
    </row>
    <row r="62" spans="1:20" x14ac:dyDescent="0.2">
      <c r="A62" s="23">
        <v>2.2999999999999998</v>
      </c>
      <c r="B62" s="24" t="s">
        <v>119</v>
      </c>
      <c r="C62" s="1"/>
      <c r="D62" s="5"/>
    </row>
    <row r="63" spans="1:20" x14ac:dyDescent="0.2">
      <c r="A63" s="23"/>
      <c r="B63" s="3" t="s">
        <v>380</v>
      </c>
      <c r="C63" s="29" t="e">
        <f>'2.3 Energiepreise'!D80/1000*100</f>
        <v>#DIV/0!</v>
      </c>
      <c r="D63" s="5"/>
    </row>
    <row r="64" spans="1:20" x14ac:dyDescent="0.2">
      <c r="A64" s="23"/>
      <c r="B64" s="3" t="s">
        <v>378</v>
      </c>
      <c r="C64" s="29">
        <f>'2.3 Energiepreise'!D82/1000*100</f>
        <v>5.2968999999999999</v>
      </c>
      <c r="D64" s="5"/>
    </row>
    <row r="65" spans="1:12" x14ac:dyDescent="0.2">
      <c r="A65" s="13"/>
    </row>
    <row r="66" spans="1:12" ht="60" x14ac:dyDescent="0.2">
      <c r="A66" s="58">
        <v>3</v>
      </c>
      <c r="B66" s="2" t="s">
        <v>238</v>
      </c>
      <c r="C66" s="27" t="s">
        <v>353</v>
      </c>
      <c r="D66" s="27" t="s">
        <v>352</v>
      </c>
      <c r="E66" s="27" t="s">
        <v>354</v>
      </c>
      <c r="F66" s="27" t="s">
        <v>393</v>
      </c>
      <c r="G66" s="1"/>
    </row>
    <row r="67" spans="1:12" x14ac:dyDescent="0.2">
      <c r="A67" s="13"/>
      <c r="B67" s="1" t="s">
        <v>62</v>
      </c>
      <c r="C67" s="1">
        <f>ROUND(IF(Heizleistungsbedarf&lt;8,INDEX(Fernwärme_Invest_ref,1,3),IF(Heizleistungsbedarf&lt;29,INDEX(Fernwärme_Invest_ref,2,3),IF(Heizleistungsbedarf&lt;69,INDEX(Fernwärme_Invest_ref,3,3),IF(Heizleistungsbedarf&lt;191,INDEX(Fernwärme_Invest_ref,4,3),IF(Heizleistungsbedarf&gt;190,INDEX(Fernwärme_Invest_ref,5,3)))))),-3)</f>
        <v>22000</v>
      </c>
      <c r="D67" s="1">
        <f>ROUND(IF(Heizleistungsbedarf&lt;8,INDEX(Fernwärme_Invest_ref,1,4),IF(Heizleistungsbedarf&lt;29,INDEX(Fernwärme_Invest_ref,2,4),IF(Heizleistungsbedarf&lt;69,INDEX(Fernwärme_Invest_ref,3,4),IF(Heizleistungsbedarf&lt;191,INDEX(Fernwärme_Invest_ref,4,4),IF(Heizleistungsbedarf&gt;190,INDEX(Fernwärme_Invest_ref,5,4)))))),-3)</f>
        <v>0</v>
      </c>
      <c r="E67" s="1">
        <f>ROUND(IF(Heizleistungsbedarf&lt;8,INDEX(Fernwärme_Invest_ref,1,5),IF(Heizleistungsbedarf&lt;29,INDEX(Fernwärme_Invest_ref,2,5),IF(Heizleistungsbedarf&lt;69,INDEX(Fernwärme_Invest_ref,3,5),IF(Heizleistungsbedarf&lt;191,INDEX(Fernwärme_Invest_ref,4,5),IF(Heizleistungsbedarf&gt;190,INDEX(Fernwärme_Invest_ref,5,5)))))),-3)</f>
        <v>8000</v>
      </c>
      <c r="F67" s="1">
        <f>ROUND(IF(Heizleistungsbedarf&lt;8,INDEX(Fernwärme_Invest_ref,1,6),IF(Heizleistungsbedarf&lt;29,INDEX(Fernwärme_Invest_ref,2,6),IF(Heizleistungsbedarf&lt;69,INDEX(Fernwärme_Invest_ref,3,6),IF(Heizleistungsbedarf&lt;191,INDEX(Fernwärme_Invest_ref,4,6),IF(Heizleistungsbedarf&gt;190,INDEX(Fernwärme_Invest_ref,5,6)))))),-3)</f>
        <v>26000</v>
      </c>
      <c r="G67" s="1" t="s">
        <v>396</v>
      </c>
    </row>
    <row r="68" spans="1:12" x14ac:dyDescent="0.2">
      <c r="A68" s="13"/>
      <c r="B68" s="1" t="s">
        <v>259</v>
      </c>
      <c r="C68" s="1">
        <f>ROUND(IF(Heizleistungsbedarf&lt;8,INDEX(WPLuft_Invest_ref,1,3),IF(Heizleistungsbedarf&lt;29,INDEX(WPLuft_Invest_ref,2,3),IF(Heizleistungsbedarf&lt;69,INDEX(WPLuft_Invest_ref,3,3),IF(Heizleistungsbedarf&lt;191,INDEX(WPLuft_Invest_ref,4,3),IF(Heizleistungsbedarf&gt;190,INDEX(WPLuft_Invest_ref,5,3)))))),-3)</f>
        <v>29000</v>
      </c>
      <c r="D68" s="1">
        <f>ROUND(IF(Heizleistungsbedarf&lt;8,INDEX(WPLuft_Invest_ref,1,4),IF(Heizleistungsbedarf&lt;29,INDEX(WPLuft_Invest_ref,2,4),IF(Heizleistungsbedarf&lt;69,INDEX(WPLuft_Invest_ref,3,4),IF(Heizleistungsbedarf&lt;191,INDEX(WPLuft_Invest_ref,4,4),IF(Heizleistungsbedarf&gt;190,INDEX(WPLuft_Invest_ref,5,4)))))),-3)</f>
        <v>3000</v>
      </c>
      <c r="E68" s="1">
        <f>ROUND(IF(Heizleistungsbedarf&lt;8,INDEX(WPLuft_Invest_ref,1,5),IF(Heizleistungsbedarf&lt;29,INDEX(WPLuft_Invest_ref,2,5),IF(Heizleistungsbedarf&lt;69,INDEX(WPLuft_Invest_ref,3,5),IF(Heizleistungsbedarf&lt;191,INDEX(WPLuft_Invest_ref,4,5),IF(Heizleistungsbedarf&gt;190,INDEX(WPLuft_Invest_ref,5,5)))))),-3)</f>
        <v>15000</v>
      </c>
      <c r="F68" s="1">
        <f>ROUND(IF(Heizleistungsbedarf&lt;8,INDEX(WPLuft_Invest_ref,1,6),IF(Heizleistungsbedarf&lt;29,INDEX(WPLuft_Invest_ref,2,6),IF(Heizleistungsbedarf&lt;69,INDEX(WPLuft_Invest_ref,3,6),IF(Heizleistungsbedarf&lt;191,INDEX(WPLuft_Invest_ref,4,6),IF(Heizleistungsbedarf&gt;190,INDEX(WPLuft_Invest_ref,5,6)))))),-3)</f>
        <v>0</v>
      </c>
      <c r="G68" s="1"/>
    </row>
    <row r="69" spans="1:12" x14ac:dyDescent="0.2">
      <c r="A69" s="13"/>
      <c r="B69" s="1" t="s">
        <v>258</v>
      </c>
      <c r="C69" s="1">
        <f>ROUND(IF(Heizleistungsbedarf&lt;8,INDEX(WPLufti_Invest_ref,1,3),IF(Heizleistungsbedarf&lt;29,INDEX(WPLufti_Invest_ref,2,3),IF(Heizleistungsbedarf&lt;69,INDEX(WPLufti_Invest_ref,3,3),IF(Heizleistungsbedarf&lt;191,INDEX(WPLufti_Invest_ref,4,3),IF(Heizleistungsbedarf&gt;190,INDEX(WPLufti_Invest_ref,5,3)))))),-3)</f>
        <v>36000</v>
      </c>
      <c r="D69" s="1">
        <f>ROUND(IF(Heizleistungsbedarf&lt;8,INDEX(WPLufti_Invest_ref,1,4),IF(Heizleistungsbedarf&lt;29,INDEX(WPLufti_Invest_ref,2,4),IF(Heizleistungsbedarf&lt;69,INDEX(WPLufti_Invest_ref,3,4),IF(Heizleistungsbedarf&lt;191,INDEX(WPLufti_Invest_ref,4,4),IF(Heizleistungsbedarf&gt;190,INDEX(WPLufti_Invest_ref,5,4)))))),-3)</f>
        <v>10000</v>
      </c>
      <c r="E69" s="1">
        <f>ROUND(IF(Heizleistungsbedarf&lt;8,INDEX(WPLufti_Invest_ref,1,5),IF(Heizleistungsbedarf&lt;29,INDEX(WPLufti_Invest_ref,2,5),IF(Heizleistungsbedarf&lt;69,INDEX(WPLufti_Invest_ref,3,5),IF(Heizleistungsbedarf&lt;191,INDEX(WPLufti_Invest_ref,4,5),IF(Heizleistungsbedarf&gt;190,INDEX(WPLufti_Invest_ref,5,5)))))),-3)</f>
        <v>18000</v>
      </c>
      <c r="F69" s="1">
        <f>IF(Heizleistungsbedarf&lt;8,INDEX(WPLufti_Invest_ref,1,6),IF(Heizleistungsbedarf&lt;29,INDEX(WPLufti_Invest_ref,2,6),IF(Heizleistungsbedarf&lt;69,INDEX(WPLufti_Invest_ref,3,6),IF(Heizleistungsbedarf&lt;191,INDEX(WPLufti_Invest_ref,4,6),IF(Heizleistungsbedarf&gt;190,INDEX(WPLufti_Invest_ref,5,6))))))</f>
        <v>0</v>
      </c>
      <c r="G69" s="1"/>
    </row>
    <row r="70" spans="1:12" x14ac:dyDescent="0.2">
      <c r="A70" s="13"/>
      <c r="B70" s="1" t="s">
        <v>57</v>
      </c>
      <c r="C70" s="1">
        <f>ROUND(IF(Heizleistungsbedarf&lt;8,INDEX(WPSonde_Invest_ref,1,3),IF(Heizleistungsbedarf&lt;29,INDEX(WPSonde_Invest_ref,2,3),IF(Heizleistungsbedarf&lt;69,INDEX(WPSonde_Invest_ref,3,3),IF(Heizleistungsbedarf&lt;191,INDEX(WPSonde_Invest_ref,4,3),IF(Heizleistungsbedarf&gt;190,INDEX(WPSonde_Invest_ref,5,3)))))),-3)</f>
        <v>29000</v>
      </c>
      <c r="D70" s="1">
        <f>ROUND(IF(Heizleistungsbedarf&lt;8,INDEX(WPSonde_Invest_ref,1,4),IF(Heizleistungsbedarf&lt;29,INDEX(WPSonde_Invest_ref,2,4),IF(Heizleistungsbedarf&lt;69,INDEX(WPSonde_Invest_ref,3,4),IF(Heizleistungsbedarf&lt;191,INDEX(WPSonde_Invest_ref,4,4),IF(Heizleistungsbedarf&gt;190,INDEX(WPSonde_Invest_ref,5,4)))))),-3)</f>
        <v>1000</v>
      </c>
      <c r="E70" s="1">
        <f>ROUND(IF(Heizleistungsbedarf&lt;8,INDEX(WPSonde_Invest_ref,1,5),IF(Heizleistungsbedarf&lt;29,INDEX(WPSonde_Invest_ref,2,5),IF(Heizleistungsbedarf&lt;69,INDEX(WPSonde_Invest_ref,3,5),IF(Heizleistungsbedarf&lt;191,INDEX(WPSonde_Invest_ref,4,5),IF(Heizleistungsbedarf&gt;190,INDEX(WPSonde_Invest_ref,5,5)))))),-3)</f>
        <v>18000</v>
      </c>
      <c r="F70" s="1">
        <f>ROUND(IF(Heizleistungsbedarf&lt;8,INDEX(WPSonde_Invest_ref,1,6),IF(Heizleistungsbedarf&lt;29,INDEX(WPSonde_Invest_ref,2,6),IF(Heizleistungsbedarf&lt;69,INDEX(WPSonde_Invest_ref,3,6),IF(Heizleistungsbedarf&lt;191,INDEX(WPSonde_Invest_ref,4,6),IF(Heizleistungsbedarf&gt;190,INDEX(WPSonde_Invest_ref,5,6)))))),-3)</f>
        <v>14000</v>
      </c>
      <c r="G70" s="1"/>
    </row>
    <row r="71" spans="1:12" x14ac:dyDescent="0.2">
      <c r="A71" s="13"/>
      <c r="B71" s="1" t="s">
        <v>58</v>
      </c>
      <c r="C71" s="1" t="e">
        <f>ROUND(IF(Heizleistungsbedarf&lt;8,INDEX(WPWasser_Invest_ref,1,3),IF(Heizleistungsbedarf&lt;29,INDEX(WPWasser_Invest_ref,2,3),IF(Heizleistungsbedarf&lt;69,INDEX(WPWasser_Invest_ref,3,3),IF(Heizleistungsbedarf&lt;191,INDEX(WPWasser_Invest_ref,4,3),IF(Heizleistungsbedarf&gt;190,INDEX(WPWasser_Invest_ref,5,3)))))),-3)</f>
        <v>#VALUE!</v>
      </c>
      <c r="D71" s="1" t="e">
        <f>ROUND(IF(Heizleistungsbedarf&lt;8,INDEX(WPWasser_Invest_ref,1,4),IF(Heizleistungsbedarf&lt;29,INDEX(WPWasser_Invest_ref,2,4),IF(Heizleistungsbedarf&lt;69,INDEX(WPWasser_Invest_ref,3,4),IF(Heizleistungsbedarf&lt;191,INDEX(WPWasser_Invest_ref,4,4),IF(Heizleistungsbedarf&gt;190,INDEX(WPWasser_Invest_ref,5,4)))))),-3)</f>
        <v>#VALUE!</v>
      </c>
      <c r="E71" s="1" t="e">
        <f>ROUND(IF(Heizleistungsbedarf&lt;8,INDEX(WPWasser_Invest_ref,1,5),IF(Heizleistungsbedarf&lt;29,INDEX(WPWasser_Invest_ref,2,5),IF(Heizleistungsbedarf&lt;69,INDEX(WPWasser_Invest_ref,3,5),IF(Heizleistungsbedarf&lt;191,INDEX(WPWasser_Invest_ref,4,5),IF(Heizleistungsbedarf&gt;190,INDEX(WPWasser_Invest_ref,5,5)))))),-3)</f>
        <v>#VALUE!</v>
      </c>
      <c r="F71" s="1">
        <f>ROUND(IF(Heizleistungsbedarf&lt;8,INDEX(WPWasser_Invest_ref,1,6),IF(Heizleistungsbedarf&lt;29,INDEX(WPWasser_Invest_ref,2,6),IF(Heizleistungsbedarf&lt;69,INDEX(WPWasser_Invest_ref,3,6),IF(Heizleistungsbedarf&lt;191,INDEX(WPWasser_Invest_ref,4,6),IF(Heizleistungsbedarf&gt;190,INDEX(WPWasser_Invest_ref,5,6)))))),-3)</f>
        <v>0</v>
      </c>
      <c r="G71" s="1"/>
    </row>
    <row r="72" spans="1:12" x14ac:dyDescent="0.2">
      <c r="A72" s="13"/>
      <c r="B72" s="1" t="s">
        <v>55</v>
      </c>
      <c r="C72" s="1">
        <f>ROUND(IF(Heizleistungsbedarf&lt;8,INDEX(Pellets_Invest_ref,1,3),IF(Heizleistungsbedarf&lt;29,INDEX(Pellets_Invest_ref,2,3),IF(Heizleistungsbedarf&lt;69,INDEX(Pellets_Invest_ref,3,3),IF(Heizleistungsbedarf&lt;191,INDEX(Pellets_Invest_ref,4,3),IF(Heizleistungsbedarf&gt;190,INDEX(Pellets_Invest_ref,5,3)))))),-3)</f>
        <v>35000</v>
      </c>
      <c r="D72" s="1">
        <f>ROUND(IF(Heizleistungsbedarf&lt;8,INDEX(Pellets_Invest_ref,1,4),IF(Heizleistungsbedarf&lt;29,INDEX(Pellets_Invest_ref,2,4),IF(Heizleistungsbedarf&lt;69,INDEX(Pellets_Invest_ref,3,4),IF(Heizleistungsbedarf&lt;191,INDEX(Pellets_Invest_ref,4,4),IF(Heizleistungsbedarf&gt;190,INDEX(Pellets_Invest_ref,5,4)))))),-3)</f>
        <v>2000</v>
      </c>
      <c r="E72" s="1">
        <f>ROUND(IF(Heizleistungsbedarf&lt;8,INDEX(Pellets_Invest_ref,1,5),IF(Heizleistungsbedarf&lt;29,INDEX(Pellets_Invest_ref,2,5),IF(Heizleistungsbedarf&lt;69,INDEX(Pellets_Invest_ref,3,5),IF(Heizleistungsbedarf&lt;191,INDEX(Pellets_Invest_ref,4,5),IF(Heizleistungsbedarf&gt;190,INDEX(Pellets_Invest_ref,5,5)))))),-3)</f>
        <v>17000</v>
      </c>
      <c r="F72" s="1">
        <v>0</v>
      </c>
      <c r="G72" s="1"/>
    </row>
    <row r="73" spans="1:12" x14ac:dyDescent="0.2">
      <c r="A73" s="13"/>
      <c r="B73" s="1" t="s">
        <v>56</v>
      </c>
      <c r="C73" s="1" t="e">
        <f>ROUND(IF(Heizleistungsbedarf&lt;8,INDEX(Schnitzel_Invest_ref,1,3),IF(Heizleistungsbedarf&lt;29,INDEX(Schnitzel_Invest_ref,2,3),IF(Heizleistungsbedarf&lt;69,INDEX(Schnitzel_Invest_ref,3,3),IF(Heizleistungsbedarf&lt;191,INDEX(Schnitzel_Invest_ref,4,3),IF(Heizleistungsbedarf&gt;190,INDEX(Schnitzel_Invest_ref,5,3)))))),-3)</f>
        <v>#VALUE!</v>
      </c>
      <c r="D73" s="1" t="e">
        <f>ROUND(IF(Heizleistungsbedarf&lt;8,INDEX(Schnitzel_Invest_ref,1,4),IF(Heizleistungsbedarf&lt;29,INDEX(Schnitzel_Invest_ref,2,4),IF(Heizleistungsbedarf&lt;69,INDEX(Schnitzel_Invest_ref,3,4),IF(Heizleistungsbedarf&lt;191,INDEX(Schnitzel_Invest_ref,4,4),IF(Heizleistungsbedarf&gt;190,INDEX(Schnitzel_Invest_ref,5,4)))))),-3)</f>
        <v>#VALUE!</v>
      </c>
      <c r="E73" s="1" t="e">
        <f>ROUND(IF(Heizleistungsbedarf&lt;8,INDEX(Schnitzel_Invest_ref,1,5),IF(Heizleistungsbedarf&lt;29,INDEX(Schnitzel_Invest_ref,2,5),IF(Heizleistungsbedarf&lt;69,INDEX(Schnitzel_Invest_ref,3,5),IF(Heizleistungsbedarf&lt;191,INDEX(Schnitzel_Invest_ref,4,5),IF(Heizleistungsbedarf&gt;190,INDEX(Schnitzel_Invest_ref,5,5)))))),-3)</f>
        <v>#VALUE!</v>
      </c>
      <c r="F73" s="1">
        <v>0</v>
      </c>
      <c r="G73" s="1"/>
    </row>
    <row r="74" spans="1:12" x14ac:dyDescent="0.2">
      <c r="A74" s="13"/>
      <c r="B74" s="1" t="s">
        <v>29</v>
      </c>
      <c r="C74" s="1">
        <f>ROUND(IF(Heizleistungsbedarf&lt;8,INDEX(Oelheizung_Invest_ref,1,3),IF(Heizleistungsbedarf&lt;29,INDEX(Oelheizung_Invest_ref,2,3),IF(Heizleistungsbedarf&lt;69,INDEX(Oelheizung_Invest_ref,3,3),IF(Heizleistungsbedarf&lt;191,INDEX(Oelheizung_Invest_ref,4,3),IF(Heizleistungsbedarf&gt;190,INDEX(Oelheizung_Invest_ref,5,3)))))),-3)</f>
        <v>36000</v>
      </c>
      <c r="D74" s="1">
        <f>ROUND(IF(Heizleistungsbedarf&lt;8,INDEX(Oelheizung_Invest_ref,1,4),IF(Heizleistungsbedarf&lt;29,INDEX(Oelheizung_Invest_ref,2,4),IF(Heizleistungsbedarf&lt;69,INDEX(Oelheizung_Invest_ref,3,4),IF(Heizleistungsbedarf&lt;191,INDEX(Oelheizung_Invest_ref,4,4),IF(Heizleistungsbedarf&gt;190,INDEX(Oelheizung_Invest_ref,5,4)))))),-3)</f>
        <v>1000</v>
      </c>
      <c r="E74" s="1">
        <f>ROUND(IF(Heizleistungsbedarf&lt;8,INDEX(Oelheizung_Invest_ref,1,5),IF(Heizleistungsbedarf&lt;29,INDEX(Oelheizung_Invest_ref,2,5),IF(Heizleistungsbedarf&lt;69,INDEX(Oelheizung_Invest_ref,3,5),IF(Heizleistungsbedarf&lt;191,INDEX(Oelheizung_Invest_ref,4,5),IF(Heizleistungsbedarf&gt;190,INDEX(Oelheizung_Invest_ref,5,5)))))),-3)</f>
        <v>11000</v>
      </c>
      <c r="F74" s="1">
        <f>ROUND(IF(Heizleistungsbedarf&lt;8,INDEX(Oelheizung_Invest_ref,1,6),IF(Heizleistungsbedarf&lt;29,INDEX(Oelheizung_Invest_ref,2,6),IF(Heizleistungsbedarf&lt;69,INDEX(Oelheizung_Invest_ref,3,6),IF(Heizleistungsbedarf&lt;191,INDEX(Oelheizung_Invest_ref,4,6),IF(Heizleistungsbedarf&gt;190,INDEX(Oelheizung_Invest_ref,5,6)))))),-3)</f>
        <v>0</v>
      </c>
      <c r="G74" s="1"/>
    </row>
    <row r="75" spans="1:12" x14ac:dyDescent="0.2">
      <c r="A75" s="13"/>
      <c r="B75" s="1" t="s">
        <v>59</v>
      </c>
      <c r="C75" s="1">
        <f>ROUND(IF(Heizleistungsbedarf&lt;8,INDEX(Gasheizung_Invest_ref,1,3),IF(Heizleistungsbedarf&lt;29,INDEX(Gasheizung_Invest_ref,2,3),IF(Heizleistungsbedarf&lt;69,INDEX(Gasheizung_Invest_ref,3,3),IF(Heizleistungsbedarf&lt;191,INDEX(Gasheizung_Invest_ref,4,3),IF(Heizleistungsbedarf&gt;190,INDEX(Gasheizung_Invest_ref,5,3)))))),-3)</f>
        <v>26000</v>
      </c>
      <c r="D75" s="1">
        <f>ROUND(IF(Heizleistungsbedarf&lt;8,INDEX(Gasheizung_Invest_ref,1,4),IF(Heizleistungsbedarf&lt;29,INDEX(Gasheizung_Invest_ref,2,4),IF(Heizleistungsbedarf&lt;69,INDEX(Gasheizung_Invest_ref,3,4),IF(Heizleistungsbedarf&lt;191,INDEX(Gasheizung_Invest_ref,4,4),IF(Heizleistungsbedarf&gt;190,INDEX(Gasheizung_Invest_ref,5,4)))))),-3)</f>
        <v>1000</v>
      </c>
      <c r="E75" s="1">
        <f>ROUND(IF(Heizleistungsbedarf&lt;8,INDEX(Gasheizung_Invest_ref,1,5),IF(Heizleistungsbedarf&lt;29,INDEX(Gasheizung_Invest_ref,2,5),IF(Heizleistungsbedarf&lt;69,INDEX(Gasheizung_Invest_ref,3,5),IF(Heizleistungsbedarf&lt;191,INDEX(Gasheizung_Invest_ref,4,5),IF(Heizleistungsbedarf&gt;190,INDEX(Gasheizung_Invest_ref,5,5)))))),-3)</f>
        <v>9000</v>
      </c>
      <c r="F75" s="1">
        <f>ROUND(IF(Heizleistungsbedarf&lt;8,INDEX(Gasheizung_Invest_ref,1,6),IF(Heizleistungsbedarf&lt;29,INDEX(Gasheizung_Invest_ref,2,6),IF(Heizleistungsbedarf&lt;69,INDEX(Gasheizung_Invest_ref,3,6),IF(Heizleistungsbedarf&lt;191,INDEX(Gasheizung_Invest_ref,4,6),IF(Heizleistungsbedarf&gt;190,INDEX(Gasheizung_Invest_ref,5,6)))))),-3)</f>
        <v>0</v>
      </c>
      <c r="G75" s="1"/>
    </row>
    <row r="76" spans="1:12" hidden="1" x14ac:dyDescent="0.2">
      <c r="A76" s="13"/>
      <c r="B76" s="1" t="s">
        <v>60</v>
      </c>
      <c r="C76" s="188" t="e">
        <f>ROUND(IF(Heizleistungsbedarf&lt;8,INDEX(WPAbsropt_Invest_ref,1,3),IF(Heizleistungsbedarf&lt;29,INDEX(WPAbsropt_Invest_ref,2,3),IF(Heizleistungsbedarf&lt;69,INDEX(WPAbsropt_Invest_ref,3,3),IF(Heizleistungsbedarf&lt;191,INDEX(WPAbsropt_Invest_ref,4,3),IF(Heizleistungsbedarf&gt;190,INDEX(WPAbsropt_Invest_ref,5,3)))))),-3)</f>
        <v>#VALUE!</v>
      </c>
      <c r="D76" s="188" t="e">
        <f>ROUND(IF(Heizleistungsbedarf&lt;8,INDEX(WPAbsropt_Invest_ref,1,4),IF(Heizleistungsbedarf&lt;29,INDEX(WPAbsropt_Invest_ref,2,4),IF(Heizleistungsbedarf&lt;69,INDEX(WPAbsropt_Invest_ref,3,4),IF(Heizleistungsbedarf&lt;191,INDEX(WPAbsropt_Invest_ref,4,4),IF(Heizleistungsbedarf&gt;190,INDEX(WPAbsropt_Invest_ref,5,4)))))),-3)</f>
        <v>#VALUE!</v>
      </c>
      <c r="E76" s="188" t="e">
        <f>ROUND(IF(Heizleistungsbedarf&lt;8,INDEX(WPAbsropt_Invest_ref,1,5),IF(Heizleistungsbedarf&lt;29,INDEX(WPAbsropt_Invest_ref,2,5),IF(Heizleistungsbedarf&lt;69,INDEX(WPAbsropt_Invest_ref,3,5),IF(Heizleistungsbedarf&lt;191,INDEX(WPAbsropt_Invest_ref,4,5),IF(Heizleistungsbedarf&gt;190,INDEX(WPAbsropt_Invest_ref,5,5)))))),-3)</f>
        <v>#VALUE!</v>
      </c>
      <c r="F76" s="188" t="e">
        <f>ROUND(IF(Heizleistungsbedarf&lt;8,INDEX(WPAbsropt_Invest_ref,1,6),IF(Heizleistungsbedarf&lt;29,INDEX(WPAbsropt_Invest_ref,2,6),IF(Heizleistungsbedarf&lt;69,INDEX(WPAbsropt_Invest_ref,3,6),IF(Heizleistungsbedarf&lt;191,INDEX(WPAbsropt_Invest_ref,4,6),IF(Heizleistungsbedarf&gt;190,INDEX(WPAbsropt_Invest_ref,5,6)))))),-3)</f>
        <v>#VALUE!</v>
      </c>
      <c r="G76" s="1"/>
    </row>
    <row r="77" spans="1:12" hidden="1" x14ac:dyDescent="0.2">
      <c r="A77" s="13"/>
      <c r="B77" s="1" t="s">
        <v>61</v>
      </c>
      <c r="C77" s="188" t="e">
        <f>ROUND(IF(Heizleistungsbedarf&lt;8,INDEX(WPZeolyth_Invest_ref,1,3),IF(Heizleistungsbedarf&lt;29,INDEX(WPZeolyth_Invest_ref,2,3),IF(Heizleistungsbedarf&lt;69,INDEX(WPZeolyth_Invest_ref,3,3),IF(Heizleistungsbedarf&lt;191,INDEX(WPZeolyth_Invest_ref,4,3),IF(Heizleistungsbedarf&gt;190,INDEX(WPZeolyth_Invest_ref,5,3)))))),-3)</f>
        <v>#VALUE!</v>
      </c>
      <c r="D77" s="188" t="e">
        <f>ROUND(IF(Heizleistungsbedarf&lt;8,INDEX(WPZeolyth_Invest_ref,1,4),IF(Heizleistungsbedarf&lt;29,INDEX(WPZeolyth_Invest_ref,2,4),IF(Heizleistungsbedarf&lt;69,INDEX(WPZeolyth_Invest_ref,3,4),IF(Heizleistungsbedarf&lt;191,INDEX(WPZeolyth_Invest_ref,4,4),IF(Heizleistungsbedarf&gt;190,INDEX(WPZeolyth_Invest_ref,5,4)))))),-3)</f>
        <v>#VALUE!</v>
      </c>
      <c r="E77" s="188" t="e">
        <f>ROUND(IF(Heizleistungsbedarf&lt;8,INDEX(WPZeolyth_Invest_ref,1,5),IF(Heizleistungsbedarf&lt;29,INDEX(WPZeolyth_Invest_ref,2,5),IF(Heizleistungsbedarf&lt;69,INDEX(WPZeolyth_Invest_ref,3,5),IF(Heizleistungsbedarf&lt;191,INDEX(WPZeolyth_Invest_ref,4,5),IF(Heizleistungsbedarf&gt;190,INDEX(WPZeolyth_Invest_ref,5,5)))))),-3)</f>
        <v>#VALUE!</v>
      </c>
      <c r="F77" s="188" t="e">
        <f>ROUND(IF(Heizleistungsbedarf&lt;8,INDEX(WPZeolyth_Invest_ref,1,6),IF(Heizleistungsbedarf&lt;29,INDEX(WPZeolyth_Invest_ref,2,6),IF(Heizleistungsbedarf&lt;69,INDEX(WPZeolyth_Invest_ref,3,6),IF(Heizleistungsbedarf&lt;191,INDEX(WPZeolyth_Invest_ref,4,6),IF(Heizleistungsbedarf&gt;190,INDEX(WPZeolyth_Invest_ref,5,6)))))),-3)</f>
        <v>#VALUE!</v>
      </c>
      <c r="G77" s="1"/>
    </row>
    <row r="78" spans="1:12" x14ac:dyDescent="0.2">
      <c r="A78" s="13"/>
      <c r="B78" s="1"/>
      <c r="C78" s="1"/>
      <c r="D78" s="1"/>
      <c r="E78" s="1"/>
      <c r="F78" s="1"/>
      <c r="G78" s="1"/>
    </row>
    <row r="79" spans="1:12" s="24" customFormat="1" ht="12" customHeight="1" x14ac:dyDescent="0.2">
      <c r="A79" s="24">
        <v>3.5</v>
      </c>
      <c r="B79" s="2" t="s">
        <v>442</v>
      </c>
      <c r="C79" s="27" t="s">
        <v>88</v>
      </c>
      <c r="D79" s="27" t="s">
        <v>87</v>
      </c>
      <c r="E79" s="27" t="s">
        <v>89</v>
      </c>
      <c r="F79" s="27" t="s">
        <v>90</v>
      </c>
      <c r="G79" s="2" t="s">
        <v>104</v>
      </c>
      <c r="I79" s="27"/>
      <c r="K79" s="2"/>
      <c r="L79" s="27"/>
    </row>
    <row r="80" spans="1:12" x14ac:dyDescent="0.2">
      <c r="B80" s="1" t="s">
        <v>62</v>
      </c>
      <c r="C80" s="1">
        <f>IF(AND(Heizleistungsbedarf&lt;=15,Heizleistungsbedarf&lt;&gt;0),'3.5 Förderbeitrag (Kanton)'!B4,0)</f>
        <v>0</v>
      </c>
      <c r="D80" s="1">
        <v>0</v>
      </c>
      <c r="E80" s="1">
        <f>IF(Heizleistungsbedarf&gt;15,'3.5 Förderbeitrag (Kanton)'!D4,0)</f>
        <v>0</v>
      </c>
      <c r="F80" s="1">
        <f>IF(Heizleistungsbedarf&gt;15,MAX(0,(MIN(Heizleistungsbedarf,0.05*EBF)-15))*'3.5 Förderbeitrag (Kanton)'!E4,0)</f>
        <v>0</v>
      </c>
      <c r="G80" s="1">
        <f t="shared" ref="G80:G86" si="2">SUM(C80:F80)</f>
        <v>0</v>
      </c>
      <c r="I80" s="1"/>
      <c r="K80" s="1"/>
      <c r="L80" s="1"/>
    </row>
    <row r="81" spans="1:12" x14ac:dyDescent="0.2">
      <c r="B81" s="1" t="s">
        <v>259</v>
      </c>
      <c r="C81" s="1">
        <f>IF(AND(Heizleistungsbedarf&lt;=15,Heizleistungsbedarf&lt;&gt;0),'3.5 Förderbeitrag (Kanton)'!B6,0)</f>
        <v>0</v>
      </c>
      <c r="D81" s="1">
        <v>0</v>
      </c>
      <c r="E81" s="1">
        <f>IF(Heizleistungsbedarf&gt;15,'3.5 Förderbeitrag (Kanton)'!B6,0)</f>
        <v>0</v>
      </c>
      <c r="F81" s="1">
        <f>IF(Heizleistungsbedarf&gt;15,MAX(0,(MIN(Heizleistungsbedarf,0.05*EBF)-15))*'3.5 Förderbeitrag (Kanton)'!E6,0)</f>
        <v>0</v>
      </c>
      <c r="G81" s="1">
        <f t="shared" si="2"/>
        <v>0</v>
      </c>
      <c r="I81" s="1"/>
      <c r="K81" s="1"/>
      <c r="L81" s="1"/>
    </row>
    <row r="82" spans="1:12" x14ac:dyDescent="0.2">
      <c r="B82" s="1" t="s">
        <v>258</v>
      </c>
      <c r="C82" s="1">
        <f>IF(AND(Heizleistungsbedarf&lt;=15,Heizleistungsbedarf&lt;&gt;0),'3.5 Förderbeitrag (Kanton)'!B6,0)</f>
        <v>0</v>
      </c>
      <c r="D82" s="1">
        <v>0</v>
      </c>
      <c r="E82" s="1">
        <f>IF(Heizleistungsbedarf&gt;15,'3.5 Förderbeitrag (Kanton)'!B6,0)</f>
        <v>0</v>
      </c>
      <c r="F82" s="1">
        <f>IF(Heizleistungsbedarf&gt;15,MAX(0,(MIN(Heizleistungsbedarf,0.05*EBF)-15))*'3.5 Förderbeitrag (Kanton)'!E6,0)</f>
        <v>0</v>
      </c>
      <c r="G82" s="1">
        <f t="shared" si="2"/>
        <v>0</v>
      </c>
      <c r="I82" s="1"/>
      <c r="K82" s="1"/>
      <c r="L82" s="1"/>
    </row>
    <row r="83" spans="1:12" x14ac:dyDescent="0.2">
      <c r="B83" s="1" t="s">
        <v>57</v>
      </c>
      <c r="C83" s="1">
        <f>IF(AND(Heizleistungsbedarf&lt;=15,Heizleistungsbedarf&lt;&gt;0),'3.5 Förderbeitrag (Kanton)'!B8,0)</f>
        <v>0</v>
      </c>
      <c r="D83" s="1">
        <v>0</v>
      </c>
      <c r="E83" s="1">
        <f>IF(Heizleistungsbedarf&gt;15,'3.5 Förderbeitrag (Kanton)'!B8,0)</f>
        <v>0</v>
      </c>
      <c r="F83" s="1">
        <f>IF(Heizleistungsbedarf&gt;15,MAX(0,(MIN(Heizleistungsbedarf,0.05*EBF)-15))*'3.5 Förderbeitrag (Kanton)'!E8,0)</f>
        <v>0</v>
      </c>
      <c r="G83" s="1">
        <f t="shared" si="2"/>
        <v>0</v>
      </c>
      <c r="I83" s="1"/>
      <c r="K83" s="1"/>
      <c r="L83" s="1"/>
    </row>
    <row r="84" spans="1:12" x14ac:dyDescent="0.2">
      <c r="B84" s="1" t="s">
        <v>58</v>
      </c>
      <c r="C84" s="1">
        <f>IF(AND(Heizleistungsbedarf&lt;=15,Heizleistungsbedarf&lt;&gt;0),'3.5 Förderbeitrag (Kanton)'!B8,0)</f>
        <v>0</v>
      </c>
      <c r="D84" s="1">
        <v>0</v>
      </c>
      <c r="E84" s="1">
        <f>IF(Heizleistungsbedarf&gt;15,'3.5 Förderbeitrag (Kanton)'!B8,0)</f>
        <v>0</v>
      </c>
      <c r="F84" s="1">
        <f>IF(Heizleistungsbedarf&gt;15,MAX(0,(MIN(Heizleistungsbedarf,0.05*EBF)-15))*'3.5 Förderbeitrag (Kanton)'!E8,0)</f>
        <v>0</v>
      </c>
      <c r="G84" s="1">
        <f t="shared" si="2"/>
        <v>0</v>
      </c>
      <c r="I84" s="1"/>
      <c r="K84" s="1"/>
      <c r="L84" s="1"/>
    </row>
    <row r="85" spans="1:12" x14ac:dyDescent="0.2">
      <c r="B85" s="1" t="s">
        <v>55</v>
      </c>
      <c r="C85" s="1">
        <v>0</v>
      </c>
      <c r="D85" s="1">
        <v>0</v>
      </c>
      <c r="E85" s="1">
        <v>0</v>
      </c>
      <c r="F85" s="1">
        <v>0</v>
      </c>
      <c r="G85" s="1">
        <f t="shared" si="2"/>
        <v>0</v>
      </c>
      <c r="I85" s="1"/>
      <c r="K85" s="1"/>
      <c r="L85" s="1"/>
    </row>
    <row r="86" spans="1:12" x14ac:dyDescent="0.2">
      <c r="B86" s="1" t="s">
        <v>56</v>
      </c>
      <c r="C86" s="1">
        <v>0</v>
      </c>
      <c r="D86" s="1">
        <v>0</v>
      </c>
      <c r="E86" s="1">
        <v>0</v>
      </c>
      <c r="F86" s="1">
        <v>0</v>
      </c>
      <c r="G86" s="1">
        <f t="shared" si="2"/>
        <v>0</v>
      </c>
      <c r="I86" s="1"/>
      <c r="K86" s="1"/>
      <c r="L86" s="1"/>
    </row>
    <row r="87" spans="1:12" x14ac:dyDescent="0.2">
      <c r="D87" s="414"/>
      <c r="E87" s="414"/>
    </row>
    <row r="88" spans="1:12" ht="13.5" x14ac:dyDescent="0.2">
      <c r="A88" s="56">
        <v>5.0999999999999996</v>
      </c>
      <c r="B88" s="2" t="s">
        <v>230</v>
      </c>
      <c r="C88" s="167"/>
      <c r="D88" s="1"/>
      <c r="E88" s="1"/>
    </row>
    <row r="89" spans="1:12" x14ac:dyDescent="0.2">
      <c r="A89" s="56"/>
      <c r="B89" s="2"/>
      <c r="C89" s="1"/>
      <c r="D89" s="1"/>
      <c r="E89" s="1"/>
    </row>
    <row r="90" spans="1:12" x14ac:dyDescent="0.2">
      <c r="A90" s="55"/>
      <c r="B90" s="1" t="s">
        <v>62</v>
      </c>
      <c r="C90" s="1" t="e">
        <f>ROUND(IF(Heizleistungsbedarf="","",IF(Heizleistungsbedarf&lt;25,'5.1 Raumbedarf'!D9,IF(Heizleistungsbedarf&lt;50,'5.1 Raumbedarf'!D10,IF(Heizleistungsbedarf&lt;70,'5.1 Raumbedarf'!D11,IF(Heizleistungsbedarf&lt;100,'5.1 Raumbedarf'!D12,IF(Heizleistungsbedarf&lt;250,'5.1 Raumbedarf'!D13,IF(Heizleistungsbedarf&lt;500,'5.1 Raumbedarf'!D14,IF(Heizleistungsbedarf&gt;=500,'5.1 Raumbedarf'!D15,0)))))))),0)</f>
        <v>#VALUE!</v>
      </c>
      <c r="D90" s="29"/>
      <c r="F90" s="1"/>
    </row>
    <row r="91" spans="1:12" x14ac:dyDescent="0.2">
      <c r="A91" s="55"/>
      <c r="B91" s="1" t="s">
        <v>259</v>
      </c>
      <c r="C91" s="1" t="e">
        <f>ROUND(IF(Heizleistungsbedarf="","",IF(Heizleistungsbedarf&lt;25,'5.1 Raumbedarf'!D9,IF(Heizleistungsbedarf&lt;50,'5.1 Raumbedarf'!D10,IF(Heizleistungsbedarf&lt;70,'5.1 Raumbedarf'!D11,IF(Heizleistungsbedarf&lt;100,'5.1 Raumbedarf'!D12,IF(Heizleistungsbedarf&lt;250,'5.1 Raumbedarf'!D13,IF(Heizleistungsbedarf&lt;500,'5.1 Raumbedarf'!D14,IF(Heizleistungsbedarf&gt;=500,'5.1 Raumbedarf'!D15,0)))))))),0)</f>
        <v>#VALUE!</v>
      </c>
      <c r="D91" s="29"/>
      <c r="F91" s="1"/>
    </row>
    <row r="92" spans="1:12" x14ac:dyDescent="0.2">
      <c r="A92" s="55"/>
      <c r="B92" s="1" t="s">
        <v>258</v>
      </c>
      <c r="C92" s="1" t="e">
        <f>ROUND(IF(Heizleistungsbedarf="","",IF(Heizleistungsbedarf&lt;25,'5.1 Raumbedarf'!D19,IF(Heizleistungsbedarf&lt;50,'5.1 Raumbedarf'!D20,IF(Heizleistungsbedarf&lt;70,'5.1 Raumbedarf'!D21,IF(Heizleistungsbedarf&lt;100,'5.1 Raumbedarf'!D22,IF(Heizleistungsbedarf&lt;250,'5.1 Raumbedarf'!D23,IF(Heizleistungsbedarf&lt;500,'5.1 Raumbedarf'!D24,IF(Heizleistungsbedarf&gt;=500,'5.1 Raumbedarf'!D25,0)))))))),0)</f>
        <v>#VALUE!</v>
      </c>
      <c r="D92" s="29"/>
    </row>
    <row r="93" spans="1:12" x14ac:dyDescent="0.2">
      <c r="A93" s="55"/>
      <c r="B93" s="1" t="s">
        <v>57</v>
      </c>
      <c r="C93" s="1" t="e">
        <f>ROUND(IF(Heizleistungsbedarf="","",IF(Heizleistungsbedarf&lt;25,'5.1 Raumbedarf'!D9,IF(Heizleistungsbedarf&lt;50,'5.1 Raumbedarf'!D10,IF(Heizleistungsbedarf&lt;70,'5.1 Raumbedarf'!D11,IF(Heizleistungsbedarf&lt;100,'5.1 Raumbedarf'!D12,IF(Heizleistungsbedarf&lt;250,'5.1 Raumbedarf'!D13,IF(Heizleistungsbedarf&lt;500,'5.1 Raumbedarf'!D14,IF(Heizleistungsbedarf&gt;=500,'5.1 Raumbedarf'!D15,0)))))))),0)</f>
        <v>#VALUE!</v>
      </c>
      <c r="D93" s="29"/>
    </row>
    <row r="94" spans="1:12" x14ac:dyDescent="0.2">
      <c r="A94" s="55"/>
      <c r="B94" s="1" t="s">
        <v>58</v>
      </c>
      <c r="C94" s="1" t="e">
        <f>ROUND(IF(Heizleistungsbedarf="","",IF(Heizleistungsbedarf&lt;25,'5.1 Raumbedarf'!D9,IF(Heizleistungsbedarf&lt;50,'5.1 Raumbedarf'!D10,IF(Heizleistungsbedarf&lt;70,'5.1 Raumbedarf'!D11,IF(Heizleistungsbedarf&lt;100,'5.1 Raumbedarf'!D12,IF(Heizleistungsbedarf&lt;250,'5.1 Raumbedarf'!D13,IF(Heizleistungsbedarf&lt;500,'5.1 Raumbedarf'!D14,IF(Heizleistungsbedarf&gt;=500,'5.1 Raumbedarf'!D15,0)))))))),0)</f>
        <v>#VALUE!</v>
      </c>
      <c r="D94" s="29"/>
      <c r="E94" s="1"/>
    </row>
    <row r="95" spans="1:12" x14ac:dyDescent="0.2">
      <c r="A95" s="55"/>
      <c r="B95" s="1" t="s">
        <v>55</v>
      </c>
      <c r="C95" s="188">
        <f>ROUND('5.1 Raumbedarf'!D29,0)</f>
        <v>0</v>
      </c>
      <c r="D95" s="29"/>
      <c r="E95" s="1"/>
    </row>
    <row r="96" spans="1:12" x14ac:dyDescent="0.2">
      <c r="A96" s="55"/>
      <c r="B96" s="1" t="s">
        <v>56</v>
      </c>
      <c r="C96" s="188">
        <f>ROUND('5.1 Raumbedarf'!D33,0)</f>
        <v>0</v>
      </c>
      <c r="D96" s="29"/>
      <c r="E96" s="1"/>
    </row>
    <row r="97" spans="1:8" s="1" customFormat="1" x14ac:dyDescent="0.2">
      <c r="A97" s="55"/>
      <c r="B97" s="1" t="s">
        <v>29</v>
      </c>
      <c r="C97" s="1" t="e">
        <f>ROUND(IF(Heizleistungsbedarf="","",IF(Heizleistungsbedarf&lt;25,'5.1 Raumbedarf'!E38,IF(Heizleistungsbedarf&lt;50,'5.1 Raumbedarf'!E39,IF(Heizleistungsbedarf&lt;70,'5.1 Raumbedarf'!E40,IF(Heizleistungsbedarf&lt;100,'5.1 Raumbedarf'!E41,IF(Heizleistungsbedarf&lt;250,'5.1 Raumbedarf'!E42,IF(Heizleistungsbedarf&lt;500,'5.1 Raumbedarf'!E43,IF(Heizleistungsbedarf&gt;=500,'5.1 Raumbedarf'!E44,0)))))))),0)</f>
        <v>#VALUE!</v>
      </c>
      <c r="D97" s="29"/>
      <c r="F97" s="3"/>
    </row>
    <row r="98" spans="1:8" s="1" customFormat="1" x14ac:dyDescent="0.2">
      <c r="A98" s="55"/>
      <c r="B98" s="1" t="s">
        <v>59</v>
      </c>
      <c r="C98" s="1" t="e">
        <f>ROUND(IF(Heizleistungsbedarf="","",IF(Heizleistungsbedarf&lt;25,'5.1 Raumbedarf'!D49,IF(Heizleistungsbedarf&lt;50,'5.1 Raumbedarf'!D50,IF(Heizleistungsbedarf&lt;70,'5.1 Raumbedarf'!D51,IF(Heizleistungsbedarf&lt;100,'5.1 Raumbedarf'!D52,IF(Heizleistungsbedarf&lt;250,'5.1 Raumbedarf'!D53,IF(Heizleistungsbedarf&lt;500,'5.1 Raumbedarf'!D54,IF(Heizleistungsbedarf&gt;=500,'5.1 Raumbedarf'!D55,0)))))))),0)</f>
        <v>#VALUE!</v>
      </c>
      <c r="D98" s="29"/>
      <c r="E98" s="3"/>
      <c r="F98" s="167"/>
    </row>
    <row r="99" spans="1:8" hidden="1" x14ac:dyDescent="0.2">
      <c r="A99" s="55"/>
      <c r="B99" s="1" t="s">
        <v>60</v>
      </c>
      <c r="C99" s="1"/>
      <c r="D99" s="29"/>
      <c r="E99" s="1"/>
    </row>
    <row r="100" spans="1:8" hidden="1" x14ac:dyDescent="0.2">
      <c r="A100" s="55"/>
      <c r="B100" s="1" t="s">
        <v>61</v>
      </c>
      <c r="C100" s="1"/>
      <c r="D100" s="29"/>
      <c r="E100" s="1"/>
    </row>
    <row r="101" spans="1:8" x14ac:dyDescent="0.2">
      <c r="A101" s="13"/>
    </row>
    <row r="102" spans="1:8" x14ac:dyDescent="0.2">
      <c r="A102" s="23">
        <v>5.2</v>
      </c>
      <c r="B102" s="24" t="s">
        <v>63</v>
      </c>
      <c r="C102" s="3">
        <v>300</v>
      </c>
    </row>
    <row r="103" spans="1:8" x14ac:dyDescent="0.2">
      <c r="A103" s="13"/>
    </row>
    <row r="104" spans="1:8" x14ac:dyDescent="0.2">
      <c r="A104" s="23">
        <v>7.1</v>
      </c>
      <c r="B104" s="24" t="s">
        <v>64</v>
      </c>
      <c r="C104" s="3">
        <v>20</v>
      </c>
      <c r="D104" s="1">
        <v>30</v>
      </c>
      <c r="E104" s="3">
        <v>40</v>
      </c>
      <c r="F104" s="1">
        <v>50</v>
      </c>
      <c r="G104" s="1"/>
    </row>
    <row r="105" spans="1:8" x14ac:dyDescent="0.2">
      <c r="A105" s="23"/>
      <c r="B105" s="24" t="s">
        <v>231</v>
      </c>
      <c r="C105" s="37">
        <f>PMT($C$108,C104,-1)</f>
        <v>5.9691224560664204E-2</v>
      </c>
      <c r="D105" s="37">
        <f>PMT($C$108,D104,-1)</f>
        <v>4.3129754929541006E-2</v>
      </c>
      <c r="E105" s="37">
        <f>PMT($C$108,E104,-1)</f>
        <v>3.4972091074376641E-2</v>
      </c>
      <c r="F105" s="37">
        <f>PMT($C$108,F104,-1)</f>
        <v>3.0173913873564863E-2</v>
      </c>
      <c r="G105" s="1"/>
      <c r="H105" s="57"/>
    </row>
    <row r="106" spans="1:8" x14ac:dyDescent="0.2">
      <c r="A106" s="23"/>
      <c r="B106" s="24" t="s">
        <v>65</v>
      </c>
      <c r="C106" s="29">
        <f>1/PMT($C$108,C104,-1)</f>
        <v>16.752881304750247</v>
      </c>
      <c r="D106" s="29">
        <f>1/PMT($C$108,D104,-1)</f>
        <v>23.185849343073052</v>
      </c>
      <c r="E106" s="29">
        <f>1/PMT($C$108,E104,-1)</f>
        <v>28.594229549307112</v>
      </c>
      <c r="F106" s="29">
        <f>1/PMT($C$108,F104,-1)</f>
        <v>33.141209462922625</v>
      </c>
      <c r="G106" s="1"/>
    </row>
    <row r="107" spans="1:8" x14ac:dyDescent="0.2">
      <c r="A107" s="13"/>
      <c r="D107" s="6"/>
      <c r="E107" s="6"/>
      <c r="F107" s="6"/>
      <c r="G107" s="6"/>
    </row>
    <row r="108" spans="1:8" x14ac:dyDescent="0.2">
      <c r="A108" s="23">
        <v>7.2</v>
      </c>
      <c r="B108" s="24" t="s">
        <v>66</v>
      </c>
      <c r="C108" s="4">
        <f>'7.2 Kalkulationszinssatz'!C3</f>
        <v>1.7500000000000002E-2</v>
      </c>
      <c r="D108" s="6"/>
      <c r="E108" s="6"/>
      <c r="F108" s="6"/>
      <c r="G108" s="6"/>
    </row>
    <row r="109" spans="1:8" x14ac:dyDescent="0.2">
      <c r="A109" s="13"/>
      <c r="D109" s="6"/>
      <c r="E109" s="6"/>
      <c r="F109" s="6"/>
      <c r="G109" s="6"/>
    </row>
    <row r="110" spans="1:8" x14ac:dyDescent="0.2">
      <c r="A110" s="23">
        <v>7.3</v>
      </c>
      <c r="B110" s="24" t="s">
        <v>68</v>
      </c>
      <c r="C110" s="4">
        <v>0</v>
      </c>
      <c r="D110" s="6"/>
      <c r="E110" s="6"/>
      <c r="F110" s="6"/>
      <c r="G110" s="6"/>
    </row>
    <row r="111" spans="1:8" x14ac:dyDescent="0.2">
      <c r="A111" s="13"/>
      <c r="D111" s="6"/>
      <c r="E111" s="6"/>
      <c r="F111" s="6"/>
      <c r="G111" s="6"/>
    </row>
    <row r="112" spans="1:8" x14ac:dyDescent="0.2">
      <c r="A112" s="23">
        <v>7.4</v>
      </c>
      <c r="B112" s="26" t="s">
        <v>69</v>
      </c>
      <c r="C112" s="4">
        <v>0</v>
      </c>
      <c r="D112" s="6"/>
      <c r="E112" s="6"/>
      <c r="F112" s="6"/>
      <c r="G112" s="6"/>
    </row>
    <row r="113" spans="1:13" x14ac:dyDescent="0.2">
      <c r="A113" s="13"/>
      <c r="D113" s="6"/>
      <c r="E113" s="6"/>
      <c r="F113" s="6"/>
      <c r="G113" s="6"/>
    </row>
    <row r="114" spans="1:13" x14ac:dyDescent="0.2">
      <c r="A114" s="23">
        <v>8.1</v>
      </c>
      <c r="B114" s="24" t="s">
        <v>64</v>
      </c>
      <c r="C114" s="3">
        <v>20</v>
      </c>
      <c r="D114" s="1">
        <v>30</v>
      </c>
      <c r="E114" s="3">
        <v>40</v>
      </c>
      <c r="F114" s="1">
        <v>50</v>
      </c>
      <c r="G114" s="6"/>
    </row>
    <row r="115" spans="1:13" x14ac:dyDescent="0.2">
      <c r="A115" s="23"/>
      <c r="B115" s="24" t="s">
        <v>70</v>
      </c>
      <c r="C115" s="5">
        <f>IF($C$108&lt;&gt;$C$110,1/($C$108-$C$110)*(1-((1+$C$110)/(1+$C$108))^C104),C104/(1+$C$108))</f>
        <v>16.752881304750336</v>
      </c>
      <c r="D115" s="29">
        <f>IF($C$108&lt;&gt;$C$110,1/($C$108-$C$110)*(1-((1+$C$110)/(1+$C$108))^D104),D104/(1+$C$108))</f>
        <v>23.185849343073166</v>
      </c>
      <c r="E115" s="29">
        <f>IF($C$108&lt;&gt;$C$110,1/($C$108-$C$110)*(1-((1+$C$110)/(1+$C$108))^E104),E104/(1+$C$108))</f>
        <v>28.59422954930724</v>
      </c>
      <c r="F115" s="29">
        <f>IF($C$108&lt;&gt;$C$110,1/($C$108-$C$110)*(1-((1+$C$110)/(1+$C$108))^F104),F104/(1+$C$108))</f>
        <v>33.14120946292276</v>
      </c>
      <c r="G115" s="7"/>
    </row>
    <row r="116" spans="1:13" x14ac:dyDescent="0.2">
      <c r="A116" s="23"/>
      <c r="B116" s="24" t="s">
        <v>70</v>
      </c>
      <c r="C116" s="5">
        <f>SUM(C115/C106)</f>
        <v>1.0000000000000053</v>
      </c>
      <c r="D116" s="29">
        <f>SUM(D115/D106)</f>
        <v>1.0000000000000049</v>
      </c>
      <c r="E116" s="29">
        <f>SUM(E115/E106)</f>
        <v>1.0000000000000044</v>
      </c>
      <c r="F116" s="29">
        <f>SUM(F115/F106)</f>
        <v>1.000000000000004</v>
      </c>
      <c r="G116" s="7"/>
    </row>
    <row r="117" spans="1:13" x14ac:dyDescent="0.2">
      <c r="A117" s="13"/>
      <c r="D117" s="1"/>
      <c r="F117" s="1"/>
      <c r="G117" s="6"/>
    </row>
    <row r="118" spans="1:13" x14ac:dyDescent="0.2">
      <c r="A118" s="25">
        <v>8.1999999999999993</v>
      </c>
      <c r="B118" s="26" t="s">
        <v>64</v>
      </c>
      <c r="C118" s="3">
        <v>20</v>
      </c>
      <c r="D118" s="1">
        <v>30</v>
      </c>
      <c r="E118" s="3">
        <v>40</v>
      </c>
      <c r="F118" s="1">
        <v>50</v>
      </c>
      <c r="G118" s="6"/>
    </row>
    <row r="119" spans="1:13" x14ac:dyDescent="0.2">
      <c r="A119" s="25"/>
      <c r="B119" s="26" t="s">
        <v>71</v>
      </c>
      <c r="C119" s="5">
        <f>IF($C$108&lt;&gt;$C$112,1/($C$108-$C$112)*(1-((1+$C$112)/(1+$C$108))^C104),C104/(1+$C$108))</f>
        <v>16.752881304750336</v>
      </c>
      <c r="D119" s="29">
        <f>IF($C$108&lt;&gt;$C$112,1/($C$108-$C$112)*(1-((1+$C$112)/(1+$C$108))^D104),D104/(1+$C$108))</f>
        <v>23.185849343073166</v>
      </c>
      <c r="E119" s="29">
        <f>IF($C$108&lt;&gt;$C$112,1/($C$108-$C$112)*(1-((1+$C$112)/(1+$C$108))^E104),E104/(1+$C$108))</f>
        <v>28.59422954930724</v>
      </c>
      <c r="F119" s="29">
        <f>IF($C$108&lt;&gt;$C$112,1/($C$108-$C$112)*(1-((1+$C$112)/(1+$C$108))^F104),F104/(1+$C$108))</f>
        <v>33.14120946292276</v>
      </c>
      <c r="G119" s="7"/>
    </row>
    <row r="120" spans="1:13" x14ac:dyDescent="0.2">
      <c r="A120" s="25"/>
      <c r="B120" s="26" t="s">
        <v>71</v>
      </c>
      <c r="C120" s="5">
        <f>SUM(C119/C106)</f>
        <v>1.0000000000000053</v>
      </c>
      <c r="D120" s="29">
        <f>SUM(D119/D106)</f>
        <v>1.0000000000000049</v>
      </c>
      <c r="E120" s="29">
        <f>SUM(E119/E106)</f>
        <v>1.0000000000000044</v>
      </c>
      <c r="F120" s="29">
        <f>SUM(F119/F106)</f>
        <v>1.000000000000004</v>
      </c>
      <c r="G120" s="7"/>
    </row>
    <row r="121" spans="1:13" s="24" customFormat="1" x14ac:dyDescent="0.2">
      <c r="A121" s="13"/>
      <c r="B121" s="3"/>
      <c r="C121" s="3"/>
      <c r="D121" s="3"/>
      <c r="E121" s="3"/>
      <c r="F121" s="3"/>
      <c r="G121" s="3"/>
      <c r="H121" s="3"/>
      <c r="I121" s="3"/>
      <c r="J121" s="3"/>
      <c r="K121" s="3"/>
      <c r="L121" s="3"/>
      <c r="M121" s="3"/>
    </row>
    <row r="122" spans="1:13" x14ac:dyDescent="0.2">
      <c r="A122" s="23">
        <v>8.3000000000000007</v>
      </c>
      <c r="B122" s="24" t="s">
        <v>48</v>
      </c>
      <c r="C122" s="28"/>
      <c r="D122" s="28"/>
      <c r="E122" s="28"/>
      <c r="F122" s="28"/>
      <c r="G122" s="28"/>
      <c r="H122" s="28"/>
      <c r="I122" s="28"/>
      <c r="J122" s="24"/>
      <c r="K122" s="24"/>
      <c r="L122" s="24"/>
      <c r="M122" s="24"/>
    </row>
    <row r="123" spans="1:13" x14ac:dyDescent="0.2">
      <c r="A123" s="13"/>
      <c r="B123" s="3" t="s">
        <v>102</v>
      </c>
      <c r="C123" s="5" t="str">
        <f>Berechnung!D34</f>
        <v xml:space="preserve"> </v>
      </c>
      <c r="D123" s="5" t="str">
        <f>Berechnung!F34</f>
        <v xml:space="preserve"> </v>
      </c>
      <c r="E123" s="5" t="str">
        <f>Berechnung!H34</f>
        <v xml:space="preserve"> </v>
      </c>
      <c r="F123" s="5" t="str">
        <f>Berechnung!J34</f>
        <v/>
      </c>
      <c r="G123" s="5" t="str">
        <f>Berechnung!L34</f>
        <v/>
      </c>
      <c r="I123" s="5"/>
    </row>
    <row r="124" spans="1:13" x14ac:dyDescent="0.2">
      <c r="A124" s="13"/>
      <c r="B124" s="3" t="s">
        <v>101</v>
      </c>
      <c r="C124" s="5" t="e">
        <f>IF(Berechnung!E36&lt;&gt;"",Berechnung!E36,Berechnung!D36)*1000</f>
        <v>#VALUE!</v>
      </c>
      <c r="D124" s="5" t="e">
        <f>IF(Berechnung!G36&lt;&gt;"",Berechnung!G36,Berechnung!F36)*1000</f>
        <v>#VALUE!</v>
      </c>
      <c r="E124" s="5" t="e">
        <f>IF(Berechnung!I36&lt;&gt;"",Berechnung!I36,Berechnung!H36)*1000</f>
        <v>#VALUE!</v>
      </c>
      <c r="F124" s="5" t="e">
        <f>IF(Berechnung!K36&lt;&gt;"",Berechnung!K36,Berechnung!J36)*1000</f>
        <v>#VALUE!</v>
      </c>
      <c r="G124" s="5" t="e">
        <f>IF(Berechnung!M36&lt;&gt;"",Berechnung!M36,Berechnung!L36)*1000</f>
        <v>#VALUE!</v>
      </c>
      <c r="I124" s="5"/>
    </row>
    <row r="125" spans="1:13" x14ac:dyDescent="0.2">
      <c r="A125" s="13"/>
      <c r="B125" s="3" t="s">
        <v>559</v>
      </c>
      <c r="C125" s="5">
        <f>Berechnung!E37*1000</f>
        <v>0</v>
      </c>
      <c r="D125" s="5">
        <f>Berechnung!G37*1000</f>
        <v>0</v>
      </c>
      <c r="E125" s="5">
        <f>Berechnung!I37*1000</f>
        <v>0</v>
      </c>
      <c r="F125" s="5">
        <f>Berechnung!K37*1000</f>
        <v>0</v>
      </c>
      <c r="G125" s="5">
        <f>Berechnung!M37*1000</f>
        <v>0</v>
      </c>
      <c r="I125" s="5"/>
    </row>
    <row r="126" spans="1:13" x14ac:dyDescent="0.2">
      <c r="A126" s="13"/>
      <c r="B126" s="10" t="s">
        <v>72</v>
      </c>
      <c r="C126" s="11" t="str">
        <f>Berechnung!D41</f>
        <v xml:space="preserve"> </v>
      </c>
      <c r="D126" s="11" t="str">
        <f>Berechnung!F41</f>
        <v xml:space="preserve"> </v>
      </c>
      <c r="E126" s="11" t="str">
        <f>Berechnung!H41</f>
        <v xml:space="preserve"> </v>
      </c>
      <c r="F126" s="11" t="str">
        <f>Berechnung!J41</f>
        <v xml:space="preserve"> </v>
      </c>
      <c r="G126" s="11" t="str">
        <f>Berechnung!L41</f>
        <v xml:space="preserve"> </v>
      </c>
      <c r="I126" s="5"/>
    </row>
    <row r="127" spans="1:13" x14ac:dyDescent="0.2">
      <c r="A127" s="13"/>
      <c r="B127" s="3" t="s">
        <v>103</v>
      </c>
      <c r="C127" s="5" t="str">
        <f>IF(ISERROR(C123*$C$105)," ",C123*$C$105)</f>
        <v xml:space="preserve"> </v>
      </c>
      <c r="D127" s="5" t="str">
        <f>IF(ISERROR(D123*$C$105)," ",D123*$C$105)</f>
        <v xml:space="preserve"> </v>
      </c>
      <c r="E127" s="5" t="str">
        <f>IF(ISERROR(E123*$C$105)," ",E123*$C$105)</f>
        <v xml:space="preserve"> </v>
      </c>
      <c r="F127" s="5" t="str">
        <f>IF(ISERROR(F123*$C$105)," ",F123*$C$105)</f>
        <v xml:space="preserve"> </v>
      </c>
      <c r="G127" s="5" t="str">
        <f>IF(ISERROR(G123*$C$105)," ",G123*$C$105)</f>
        <v xml:space="preserve"> </v>
      </c>
      <c r="I127" s="5"/>
    </row>
    <row r="128" spans="1:13" x14ac:dyDescent="0.2">
      <c r="A128" s="13"/>
      <c r="B128" s="3" t="s">
        <v>558</v>
      </c>
      <c r="C128" s="5" t="str">
        <f>IF(ISERROR(C124*$E$105)," ",C124*$E$105)</f>
        <v xml:space="preserve"> </v>
      </c>
      <c r="D128" s="5" t="str">
        <f>IF(ISERROR(D124*$E$105)," ",D124*$E$105)</f>
        <v xml:space="preserve"> </v>
      </c>
      <c r="E128" s="5" t="str">
        <f>IF(ISERROR(E124*$E$105)," ",E124*$E$105)</f>
        <v xml:space="preserve"> </v>
      </c>
      <c r="F128" s="5" t="str">
        <f>IF(ISERROR(F124*$E$105)," ",F124*$E$105)</f>
        <v xml:space="preserve"> </v>
      </c>
      <c r="G128" s="5" t="str">
        <f>IF(ISERROR(G124*$E$105)," ",G124*$E$105)</f>
        <v xml:space="preserve"> </v>
      </c>
      <c r="I128" s="5"/>
    </row>
    <row r="129" spans="1:9" x14ac:dyDescent="0.2">
      <c r="A129" s="13"/>
      <c r="B129" s="3" t="s">
        <v>560</v>
      </c>
      <c r="C129" s="5">
        <f>IF(ISERROR(C125*$E$105),"",C125*$E$105)</f>
        <v>0</v>
      </c>
      <c r="D129" s="5">
        <f>IF(ISERROR(D125*$E$105),"",D125*$E$105)</f>
        <v>0</v>
      </c>
      <c r="E129" s="5">
        <f>IF(ISERROR(E125*$E$105),"",E125*$E$105)</f>
        <v>0</v>
      </c>
      <c r="F129" s="5">
        <f>IF(ISERROR(F125*$E$105),"",F125*$E$105)</f>
        <v>0</v>
      </c>
      <c r="G129" s="5">
        <f>IF(ISERROR(G125*$E$105),"",G125*$E$105)</f>
        <v>0</v>
      </c>
      <c r="I129" s="5"/>
    </row>
    <row r="130" spans="1:9" ht="12.75" thickBot="1" x14ac:dyDescent="0.25">
      <c r="A130" s="13"/>
      <c r="B130" s="8" t="s">
        <v>213</v>
      </c>
      <c r="C130" s="9" t="str">
        <f>IF(ISERROR(C126*$E$105)," ",C126*$E$105)</f>
        <v xml:space="preserve"> </v>
      </c>
      <c r="D130" s="9" t="str">
        <f>IF(ISERROR(D126*$E$105)," ",D126*$E$105)</f>
        <v xml:space="preserve"> </v>
      </c>
      <c r="E130" s="9" t="str">
        <f>IF(ISERROR(E126*$E$105)," ",E126*$E$105)</f>
        <v xml:space="preserve"> </v>
      </c>
      <c r="F130" s="9" t="str">
        <f>IF(ISERROR(F126*$E$105)," ",F126*$E$105)</f>
        <v xml:space="preserve"> </v>
      </c>
      <c r="G130" s="9" t="str">
        <f>IF(ISERROR(G126*$E$105)," ",G126*$E$105)</f>
        <v xml:space="preserve"> </v>
      </c>
      <c r="I130" s="5"/>
    </row>
    <row r="131" spans="1:9" ht="12.75" thickTop="1" x14ac:dyDescent="0.2">
      <c r="A131" s="13"/>
      <c r="B131" s="3" t="s">
        <v>73</v>
      </c>
      <c r="C131" s="5">
        <f>SUM(C127:C130)</f>
        <v>0</v>
      </c>
      <c r="D131" s="5">
        <f>SUM(D127:D130)</f>
        <v>0</v>
      </c>
      <c r="E131" s="5">
        <f>SUM(E127:E130)</f>
        <v>0</v>
      </c>
      <c r="F131" s="5">
        <f>SUM(F127:F130)</f>
        <v>0</v>
      </c>
      <c r="G131" s="5">
        <f>SUM(G127:G130)</f>
        <v>0</v>
      </c>
      <c r="I131" s="5"/>
    </row>
  </sheetData>
  <sheetProtection algorithmName="SHA-512" hashValue="i1Cc6Asiluy3+3xwY5Sac6nUESPsL8pOCOq2PInReGjBRJ1HRrxkxYlUSj3xeTbegR0iHXajaVqvx1VyYBiXdA==" saltValue="TLURtvnpUpNCgTLX6SNF+A==" spinCount="100000" sheet="1" objects="1" scenarios="1"/>
  <mergeCells count="1">
    <mergeCell ref="D87:E87"/>
  </mergeCells>
  <pageMargins left="0.7" right="0.7" top="0.78740157499999996" bottom="0.78740157499999996" header="0.3" footer="0.3"/>
  <pageSetup paperSize="8" scale="70" orientation="portrait" r:id="rId1"/>
  <ignoredErrors>
    <ignoredError sqref="C129:G129 C9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C28"/>
  <sheetViews>
    <sheetView workbookViewId="0">
      <selection activeCell="H17" sqref="H17:M17"/>
    </sheetView>
  </sheetViews>
  <sheetFormatPr baseColWidth="10" defaultColWidth="10.85546875" defaultRowHeight="15" x14ac:dyDescent="0.25"/>
  <cols>
    <col min="1" max="1" width="6.85546875" bestFit="1" customWidth="1"/>
    <col min="2" max="2" width="59.140625" bestFit="1" customWidth="1"/>
    <col min="3" max="3" width="124.85546875" style="52" bestFit="1" customWidth="1"/>
  </cols>
  <sheetData>
    <row r="1" spans="1:3" s="39" customFormat="1" x14ac:dyDescent="0.25">
      <c r="A1" s="34" t="s">
        <v>77</v>
      </c>
      <c r="B1" s="34" t="s">
        <v>78</v>
      </c>
      <c r="C1" s="34" t="s">
        <v>79</v>
      </c>
    </row>
    <row r="2" spans="1:3" s="41" customFormat="1" x14ac:dyDescent="0.25">
      <c r="A2" s="41">
        <v>1.6</v>
      </c>
      <c r="B2" s="41" t="s">
        <v>218</v>
      </c>
      <c r="C2" t="s">
        <v>556</v>
      </c>
    </row>
    <row r="3" spans="1:3" s="41" customFormat="1" x14ac:dyDescent="0.25">
      <c r="A3" s="41">
        <v>2.1</v>
      </c>
      <c r="B3" s="41" t="s">
        <v>31</v>
      </c>
      <c r="C3" s="41" t="s">
        <v>637</v>
      </c>
    </row>
    <row r="4" spans="1:3" s="41" customFormat="1" x14ac:dyDescent="0.25">
      <c r="A4" s="41">
        <v>2.2999999999999998</v>
      </c>
      <c r="B4" s="41" t="s">
        <v>80</v>
      </c>
      <c r="C4" s="73" t="s">
        <v>452</v>
      </c>
    </row>
    <row r="5" spans="1:3" s="41" customFormat="1" x14ac:dyDescent="0.25">
      <c r="A5" s="41">
        <v>2.2999999999999998</v>
      </c>
      <c r="B5" s="41" t="s">
        <v>221</v>
      </c>
      <c r="C5" s="73" t="s">
        <v>222</v>
      </c>
    </row>
    <row r="6" spans="1:3" s="41" customFormat="1" x14ac:dyDescent="0.25">
      <c r="A6" s="41">
        <v>2.2999999999999998</v>
      </c>
      <c r="B6" s="41" t="s">
        <v>81</v>
      </c>
      <c r="C6" s="41" t="s">
        <v>576</v>
      </c>
    </row>
    <row r="7" spans="1:3" s="41" customFormat="1" x14ac:dyDescent="0.25">
      <c r="A7" s="50" t="s">
        <v>447</v>
      </c>
      <c r="B7" s="41" t="s">
        <v>223</v>
      </c>
      <c r="C7" s="41" t="s">
        <v>224</v>
      </c>
    </row>
    <row r="8" spans="1:3" s="41" customFormat="1" x14ac:dyDescent="0.25">
      <c r="A8" s="41">
        <v>3.1</v>
      </c>
      <c r="B8" s="51" t="s">
        <v>225</v>
      </c>
      <c r="C8" s="41" t="s">
        <v>554</v>
      </c>
    </row>
    <row r="9" spans="1:3" s="41" customFormat="1" x14ac:dyDescent="0.25">
      <c r="A9" s="41">
        <v>3.2</v>
      </c>
      <c r="B9" s="51" t="s">
        <v>226</v>
      </c>
      <c r="C9" s="41" t="s">
        <v>554</v>
      </c>
    </row>
    <row r="10" spans="1:3" s="41" customFormat="1" x14ac:dyDescent="0.25">
      <c r="A10" s="41">
        <v>3.5</v>
      </c>
      <c r="B10" s="51" t="s">
        <v>442</v>
      </c>
      <c r="C10" s="73" t="s">
        <v>227</v>
      </c>
    </row>
    <row r="11" spans="1:3" s="41" customFormat="1" x14ac:dyDescent="0.25">
      <c r="A11" s="41">
        <v>4.0999999999999996</v>
      </c>
      <c r="B11" s="41" t="s">
        <v>228</v>
      </c>
      <c r="C11" s="41" t="s">
        <v>554</v>
      </c>
    </row>
    <row r="12" spans="1:3" s="41" customFormat="1" x14ac:dyDescent="0.25">
      <c r="A12" s="41">
        <v>7.1</v>
      </c>
      <c r="B12" s="41" t="s">
        <v>67</v>
      </c>
      <c r="C12" s="73" t="s">
        <v>237</v>
      </c>
    </row>
    <row r="13" spans="1:3" s="41" customFormat="1" x14ac:dyDescent="0.25">
      <c r="A13" s="52"/>
      <c r="B13" s="52"/>
      <c r="C13" s="52"/>
    </row>
    <row r="14" spans="1:3" s="41" customFormat="1" x14ac:dyDescent="0.25"/>
    <row r="15" spans="1:3" s="41" customFormat="1" x14ac:dyDescent="0.25"/>
    <row r="16" spans="1:3" s="41" customFormat="1" x14ac:dyDescent="0.25"/>
    <row r="17" s="41" customFormat="1" x14ac:dyDescent="0.25"/>
    <row r="18" s="41" customFormat="1" x14ac:dyDescent="0.25"/>
    <row r="19" s="41" customFormat="1" x14ac:dyDescent="0.25"/>
    <row r="20" s="41" customFormat="1" x14ac:dyDescent="0.25"/>
    <row r="21" s="41" customFormat="1" x14ac:dyDescent="0.25"/>
    <row r="22" s="41" customFormat="1" x14ac:dyDescent="0.25"/>
    <row r="23" s="41" customFormat="1" x14ac:dyDescent="0.25"/>
    <row r="24" s="41" customFormat="1" x14ac:dyDescent="0.25"/>
    <row r="25" s="41" customFormat="1" x14ac:dyDescent="0.25"/>
    <row r="26" s="41" customFormat="1" x14ac:dyDescent="0.25"/>
    <row r="27" s="41" customFormat="1" x14ac:dyDescent="0.25"/>
    <row r="28" s="41" customFormat="1" x14ac:dyDescent="0.25"/>
  </sheetData>
  <sheetProtection algorithmName="SHA-512" hashValue="kMY2SdHTP/QUGmgXNrAGOWYfU94rJN6z4K7yYo2+lPehntkLp1/0lTUcgTVjQp+UXdTau7rcUM54e+2NNkOtfg==" saltValue="g1FC4F10/B5trrAhSs7p0w==" spinCount="100000" sheet="1" objects="1" scenarios="1"/>
  <hyperlinks>
    <hyperlink ref="C4" r:id="rId1" xr:uid="{00000000-0004-0000-0400-000000000000}"/>
    <hyperlink ref="C5" r:id="rId2" xr:uid="{00000000-0004-0000-0400-000001000000}"/>
    <hyperlink ref="C10" r:id="rId3" xr:uid="{00000000-0004-0000-0400-000002000000}"/>
    <hyperlink ref="C12" r:id="rId4" xr:uid="{00000000-0004-0000-0400-000003000000}"/>
  </hyperlinks>
  <pageMargins left="0.7" right="0.7" top="0.78740157499999996" bottom="0.78740157499999996"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K64"/>
  <sheetViews>
    <sheetView workbookViewId="0">
      <selection activeCell="H17" sqref="H17:M17"/>
    </sheetView>
  </sheetViews>
  <sheetFormatPr baseColWidth="10" defaultColWidth="10.7109375" defaultRowHeight="15" x14ac:dyDescent="0.25"/>
  <cols>
    <col min="1" max="1" width="4" bestFit="1" customWidth="1"/>
    <col min="2" max="2" width="17" bestFit="1" customWidth="1"/>
    <col min="3" max="3" width="35.140625" bestFit="1" customWidth="1"/>
    <col min="4" max="4" width="60.85546875" bestFit="1" customWidth="1"/>
    <col min="5" max="5" width="13.140625" bestFit="1" customWidth="1"/>
    <col min="6" max="6" width="8.7109375" bestFit="1" customWidth="1"/>
    <col min="7" max="7" width="30.28515625" bestFit="1" customWidth="1"/>
  </cols>
  <sheetData>
    <row r="1" spans="1:11" s="39" customFormat="1" x14ac:dyDescent="0.25">
      <c r="A1" s="39">
        <v>2.1</v>
      </c>
      <c r="B1" s="39" t="s">
        <v>603</v>
      </c>
    </row>
    <row r="3" spans="1:11" x14ac:dyDescent="0.25">
      <c r="B3" s="34" t="s">
        <v>121</v>
      </c>
      <c r="C3" s="34" t="s">
        <v>122</v>
      </c>
      <c r="D3" s="34" t="s">
        <v>123</v>
      </c>
      <c r="E3" s="34" t="s">
        <v>207</v>
      </c>
      <c r="F3" s="34" t="s">
        <v>208</v>
      </c>
    </row>
    <row r="4" spans="1:11" x14ac:dyDescent="0.25">
      <c r="B4" s="35" t="s">
        <v>29</v>
      </c>
      <c r="C4" s="35" t="s">
        <v>124</v>
      </c>
      <c r="D4" s="35" t="s">
        <v>124</v>
      </c>
      <c r="E4" s="35">
        <v>0.85</v>
      </c>
      <c r="F4" s="35">
        <v>0.92</v>
      </c>
      <c r="G4" t="s">
        <v>604</v>
      </c>
    </row>
    <row r="5" spans="1:11" hidden="1" x14ac:dyDescent="0.25">
      <c r="C5" t="s">
        <v>125</v>
      </c>
      <c r="D5" t="s">
        <v>126</v>
      </c>
      <c r="E5">
        <v>0.91</v>
      </c>
      <c r="F5">
        <v>1</v>
      </c>
    </row>
    <row r="6" spans="1:11" hidden="1" x14ac:dyDescent="0.25">
      <c r="C6" t="s">
        <v>127</v>
      </c>
      <c r="D6" t="s">
        <v>128</v>
      </c>
      <c r="E6">
        <v>0.88</v>
      </c>
      <c r="F6">
        <v>0.95</v>
      </c>
      <c r="K6" s="3"/>
    </row>
    <row r="7" spans="1:11" x14ac:dyDescent="0.25">
      <c r="B7" s="35" t="s">
        <v>59</v>
      </c>
      <c r="C7" s="35" t="s">
        <v>129</v>
      </c>
      <c r="D7" s="35" t="s">
        <v>129</v>
      </c>
      <c r="E7" s="35">
        <v>0.85</v>
      </c>
      <c r="F7" s="35">
        <v>0.95</v>
      </c>
      <c r="G7" t="s">
        <v>604</v>
      </c>
      <c r="K7" s="3"/>
    </row>
    <row r="8" spans="1:11" hidden="1" x14ac:dyDescent="0.25">
      <c r="C8" t="s">
        <v>130</v>
      </c>
      <c r="D8" t="s">
        <v>131</v>
      </c>
      <c r="E8">
        <v>0.95</v>
      </c>
      <c r="F8">
        <v>1</v>
      </c>
      <c r="K8" s="3"/>
    </row>
    <row r="9" spans="1:11" hidden="1" x14ac:dyDescent="0.25">
      <c r="C9" t="s">
        <v>132</v>
      </c>
      <c r="D9" t="s">
        <v>133</v>
      </c>
      <c r="E9">
        <v>0.92</v>
      </c>
      <c r="F9">
        <v>0.95</v>
      </c>
      <c r="K9" s="3"/>
    </row>
    <row r="10" spans="1:11" hidden="1" x14ac:dyDescent="0.25">
      <c r="C10" t="s">
        <v>134</v>
      </c>
      <c r="D10" t="s">
        <v>134</v>
      </c>
      <c r="E10">
        <v>0.7</v>
      </c>
      <c r="F10">
        <v>0.9</v>
      </c>
      <c r="K10" s="3"/>
    </row>
    <row r="11" spans="1:11" x14ac:dyDescent="0.25">
      <c r="B11" s="35" t="s">
        <v>56</v>
      </c>
      <c r="C11" s="35" t="s">
        <v>135</v>
      </c>
      <c r="D11" s="35" t="s">
        <v>135</v>
      </c>
      <c r="E11" s="35">
        <v>0.75</v>
      </c>
      <c r="F11" s="35">
        <v>0.9</v>
      </c>
      <c r="G11" t="s">
        <v>604</v>
      </c>
      <c r="K11" s="3"/>
    </row>
    <row r="12" spans="1:11" x14ac:dyDescent="0.25">
      <c r="B12" s="35" t="s">
        <v>55</v>
      </c>
      <c r="C12" s="35" t="s">
        <v>136</v>
      </c>
      <c r="D12" s="35" t="s">
        <v>136</v>
      </c>
      <c r="E12" s="35">
        <v>0.85</v>
      </c>
      <c r="F12" s="35">
        <v>0.9</v>
      </c>
      <c r="G12" t="s">
        <v>604</v>
      </c>
      <c r="K12" s="3"/>
    </row>
    <row r="13" spans="1:11" hidden="1" x14ac:dyDescent="0.25">
      <c r="C13" t="s">
        <v>137</v>
      </c>
      <c r="D13" t="s">
        <v>138</v>
      </c>
      <c r="E13">
        <v>1</v>
      </c>
      <c r="F13">
        <v>1</v>
      </c>
      <c r="K13" s="3"/>
    </row>
    <row r="14" spans="1:11" hidden="1" x14ac:dyDescent="0.25">
      <c r="C14" t="s">
        <v>139</v>
      </c>
      <c r="D14" t="s">
        <v>139</v>
      </c>
      <c r="E14">
        <v>0.93</v>
      </c>
      <c r="F14">
        <v>0.95</v>
      </c>
      <c r="K14" s="3"/>
    </row>
    <row r="15" spans="1:11" hidden="1" x14ac:dyDescent="0.25">
      <c r="C15" t="s">
        <v>140</v>
      </c>
      <c r="D15" t="s">
        <v>140</v>
      </c>
      <c r="E15">
        <v>1</v>
      </c>
      <c r="F15">
        <v>1</v>
      </c>
      <c r="K15" s="3"/>
    </row>
    <row r="16" spans="1:11" hidden="1" x14ac:dyDescent="0.25">
      <c r="C16" t="s">
        <v>141</v>
      </c>
      <c r="D16" t="s">
        <v>141</v>
      </c>
      <c r="E16">
        <v>0.9</v>
      </c>
      <c r="F16">
        <v>0.95</v>
      </c>
    </row>
    <row r="17" spans="2:7" hidden="1" x14ac:dyDescent="0.25">
      <c r="C17" t="s">
        <v>142</v>
      </c>
      <c r="D17" t="s">
        <v>143</v>
      </c>
      <c r="E17">
        <v>0.8</v>
      </c>
      <c r="F17">
        <v>0.9</v>
      </c>
    </row>
    <row r="18" spans="2:7" hidden="1" x14ac:dyDescent="0.25">
      <c r="C18" t="s">
        <v>144</v>
      </c>
      <c r="D18" t="s">
        <v>145</v>
      </c>
      <c r="E18">
        <v>0.7</v>
      </c>
      <c r="F18">
        <v>0.9</v>
      </c>
    </row>
    <row r="19" spans="2:7" x14ac:dyDescent="0.25">
      <c r="B19" s="35" t="s">
        <v>259</v>
      </c>
      <c r="C19" s="35" t="s">
        <v>146</v>
      </c>
      <c r="D19" s="35" t="s">
        <v>147</v>
      </c>
      <c r="E19" s="35">
        <v>2.5</v>
      </c>
      <c r="F19" s="35">
        <v>6</v>
      </c>
      <c r="G19" t="s">
        <v>607</v>
      </c>
    </row>
    <row r="20" spans="2:7" x14ac:dyDescent="0.25">
      <c r="B20" s="35" t="s">
        <v>258</v>
      </c>
      <c r="C20" s="35" t="s">
        <v>146</v>
      </c>
      <c r="D20" s="35" t="s">
        <v>147</v>
      </c>
      <c r="E20" s="35">
        <v>2.5</v>
      </c>
      <c r="F20" s="35">
        <v>6</v>
      </c>
      <c r="G20" t="s">
        <v>607</v>
      </c>
    </row>
    <row r="21" spans="2:7" hidden="1" x14ac:dyDescent="0.25">
      <c r="C21" t="s">
        <v>148</v>
      </c>
      <c r="D21" t="s">
        <v>149</v>
      </c>
      <c r="E21">
        <v>2.2999999999999998</v>
      </c>
      <c r="F21">
        <v>5</v>
      </c>
    </row>
    <row r="22" spans="2:7" x14ac:dyDescent="0.25">
      <c r="B22" s="35" t="s">
        <v>57</v>
      </c>
      <c r="C22" s="35" t="s">
        <v>150</v>
      </c>
      <c r="D22" s="35" t="s">
        <v>151</v>
      </c>
      <c r="E22" s="35">
        <v>3.5</v>
      </c>
      <c r="F22" s="35">
        <v>10</v>
      </c>
      <c r="G22" t="s">
        <v>607</v>
      </c>
    </row>
    <row r="23" spans="2:7" hidden="1" x14ac:dyDescent="0.25">
      <c r="C23" t="s">
        <v>152</v>
      </c>
      <c r="D23" t="s">
        <v>153</v>
      </c>
      <c r="E23">
        <v>2.7</v>
      </c>
      <c r="F23">
        <v>7</v>
      </c>
    </row>
    <row r="24" spans="2:7" hidden="1" x14ac:dyDescent="0.25">
      <c r="C24" t="s">
        <v>154</v>
      </c>
      <c r="D24" t="s">
        <v>155</v>
      </c>
      <c r="E24">
        <v>2.7</v>
      </c>
      <c r="F24">
        <v>10</v>
      </c>
    </row>
    <row r="25" spans="2:7" hidden="1" x14ac:dyDescent="0.25">
      <c r="C25" t="s">
        <v>156</v>
      </c>
      <c r="D25" t="s">
        <v>157</v>
      </c>
      <c r="E25">
        <v>2.8</v>
      </c>
      <c r="F25">
        <v>7</v>
      </c>
    </row>
    <row r="26" spans="2:7" x14ac:dyDescent="0.25">
      <c r="B26" s="35" t="s">
        <v>58</v>
      </c>
      <c r="C26" s="35" t="s">
        <v>158</v>
      </c>
      <c r="D26" s="35" t="s">
        <v>159</v>
      </c>
      <c r="E26" s="35">
        <v>3.5</v>
      </c>
      <c r="F26" s="35">
        <v>10</v>
      </c>
      <c r="G26" t="s">
        <v>606</v>
      </c>
    </row>
    <row r="27" spans="2:7" hidden="1" x14ac:dyDescent="0.25">
      <c r="C27" t="s">
        <v>160</v>
      </c>
      <c r="D27" t="s">
        <v>161</v>
      </c>
      <c r="E27">
        <v>2.8</v>
      </c>
      <c r="F27">
        <v>7</v>
      </c>
    </row>
    <row r="28" spans="2:7" hidden="1" x14ac:dyDescent="0.25">
      <c r="C28" t="s">
        <v>162</v>
      </c>
      <c r="D28" t="s">
        <v>163</v>
      </c>
      <c r="E28">
        <v>3.2</v>
      </c>
      <c r="F28">
        <v>10</v>
      </c>
    </row>
    <row r="29" spans="2:7" hidden="1" x14ac:dyDescent="0.25">
      <c r="C29" t="s">
        <v>164</v>
      </c>
      <c r="D29" t="s">
        <v>165</v>
      </c>
      <c r="E29">
        <v>2.9</v>
      </c>
      <c r="F29">
        <v>7</v>
      </c>
    </row>
    <row r="30" spans="2:7" hidden="1" x14ac:dyDescent="0.25">
      <c r="C30" t="s">
        <v>166</v>
      </c>
      <c r="D30" t="s">
        <v>167</v>
      </c>
      <c r="E30">
        <v>2.7</v>
      </c>
      <c r="F30">
        <v>8</v>
      </c>
    </row>
    <row r="31" spans="2:7" hidden="1" x14ac:dyDescent="0.25">
      <c r="C31" t="s">
        <v>168</v>
      </c>
      <c r="D31" t="s">
        <v>169</v>
      </c>
      <c r="E31">
        <v>2.7</v>
      </c>
      <c r="F31">
        <v>6</v>
      </c>
    </row>
    <row r="32" spans="2:7" hidden="1" x14ac:dyDescent="0.25">
      <c r="C32" t="s">
        <v>170</v>
      </c>
      <c r="D32" t="s">
        <v>171</v>
      </c>
      <c r="E32">
        <v>2.9</v>
      </c>
      <c r="F32">
        <v>8</v>
      </c>
    </row>
    <row r="33" spans="3:6" hidden="1" x14ac:dyDescent="0.25">
      <c r="C33" t="s">
        <v>172</v>
      </c>
      <c r="D33" t="s">
        <v>173</v>
      </c>
      <c r="E33">
        <v>2.7</v>
      </c>
      <c r="F33">
        <v>6</v>
      </c>
    </row>
    <row r="34" spans="3:6" hidden="1" x14ac:dyDescent="0.25">
      <c r="C34" t="s">
        <v>174</v>
      </c>
      <c r="D34" t="s">
        <v>175</v>
      </c>
      <c r="E34">
        <v>1</v>
      </c>
      <c r="F34">
        <v>1</v>
      </c>
    </row>
    <row r="35" spans="3:6" hidden="1" x14ac:dyDescent="0.25">
      <c r="C35" t="s">
        <v>176</v>
      </c>
      <c r="D35" t="s">
        <v>177</v>
      </c>
      <c r="E35">
        <v>1</v>
      </c>
      <c r="F35">
        <v>1</v>
      </c>
    </row>
    <row r="36" spans="3:6" hidden="1" x14ac:dyDescent="0.25">
      <c r="C36" t="s">
        <v>178</v>
      </c>
      <c r="D36" t="s">
        <v>179</v>
      </c>
      <c r="E36">
        <v>1</v>
      </c>
      <c r="F36">
        <v>1</v>
      </c>
    </row>
    <row r="37" spans="3:6" hidden="1" x14ac:dyDescent="0.25">
      <c r="C37" t="s">
        <v>180</v>
      </c>
      <c r="D37" t="s">
        <v>180</v>
      </c>
      <c r="E37">
        <v>1</v>
      </c>
      <c r="F37">
        <v>1</v>
      </c>
    </row>
    <row r="38" spans="3:6" hidden="1" x14ac:dyDescent="0.25">
      <c r="C38" t="s">
        <v>181</v>
      </c>
      <c r="D38" t="s">
        <v>181</v>
      </c>
      <c r="E38">
        <v>10</v>
      </c>
      <c r="F38">
        <v>10</v>
      </c>
    </row>
    <row r="39" spans="3:6" hidden="1" x14ac:dyDescent="0.25">
      <c r="C39" t="s">
        <v>182</v>
      </c>
      <c r="D39" t="s">
        <v>182</v>
      </c>
      <c r="E39">
        <v>10</v>
      </c>
      <c r="F39">
        <v>10</v>
      </c>
    </row>
    <row r="40" spans="3:6" hidden="1" x14ac:dyDescent="0.25">
      <c r="C40" t="s">
        <v>183</v>
      </c>
      <c r="D40" t="s">
        <v>184</v>
      </c>
      <c r="E40">
        <v>2.2999999999999998</v>
      </c>
      <c r="F40">
        <v>3.5</v>
      </c>
    </row>
    <row r="41" spans="3:6" hidden="1" x14ac:dyDescent="0.25">
      <c r="C41" t="s">
        <v>185</v>
      </c>
      <c r="D41" t="s">
        <v>186</v>
      </c>
      <c r="E41">
        <v>2.7</v>
      </c>
      <c r="F41">
        <v>3.9000000000000004</v>
      </c>
    </row>
    <row r="42" spans="3:6" hidden="1" x14ac:dyDescent="0.25">
      <c r="C42" t="s">
        <v>187</v>
      </c>
      <c r="D42" t="s">
        <v>188</v>
      </c>
      <c r="E42">
        <v>2.5</v>
      </c>
      <c r="F42">
        <v>3.7</v>
      </c>
    </row>
    <row r="43" spans="3:6" hidden="1" x14ac:dyDescent="0.25">
      <c r="C43" t="s">
        <v>189</v>
      </c>
      <c r="D43" t="s">
        <v>190</v>
      </c>
      <c r="E43">
        <v>2.2999999999999998</v>
      </c>
      <c r="F43">
        <v>3.5</v>
      </c>
    </row>
    <row r="44" spans="3:6" hidden="1" x14ac:dyDescent="0.25">
      <c r="C44" t="s">
        <v>191</v>
      </c>
      <c r="D44" t="s">
        <v>192</v>
      </c>
      <c r="E44">
        <v>2.7</v>
      </c>
      <c r="F44">
        <v>3.9000000000000004</v>
      </c>
    </row>
    <row r="45" spans="3:6" hidden="1" x14ac:dyDescent="0.25">
      <c r="C45" t="s">
        <v>193</v>
      </c>
      <c r="D45" t="s">
        <v>194</v>
      </c>
      <c r="E45">
        <v>2.5</v>
      </c>
      <c r="F45">
        <v>3.7</v>
      </c>
    </row>
    <row r="46" spans="3:6" hidden="1" x14ac:dyDescent="0.25">
      <c r="C46" t="s">
        <v>195</v>
      </c>
      <c r="D46" t="s">
        <v>196</v>
      </c>
      <c r="E46">
        <v>0.75</v>
      </c>
      <c r="F46">
        <v>0.85</v>
      </c>
    </row>
    <row r="47" spans="3:6" hidden="1" x14ac:dyDescent="0.25">
      <c r="C47" t="s">
        <v>197</v>
      </c>
      <c r="D47" t="s">
        <v>198</v>
      </c>
      <c r="E47">
        <v>1</v>
      </c>
      <c r="F47">
        <v>1</v>
      </c>
    </row>
    <row r="48" spans="3:6" hidden="1" x14ac:dyDescent="0.25">
      <c r="C48" t="s">
        <v>199</v>
      </c>
      <c r="D48" t="s">
        <v>200</v>
      </c>
      <c r="E48">
        <v>1</v>
      </c>
      <c r="F48">
        <v>1</v>
      </c>
    </row>
    <row r="49" spans="2:7" x14ac:dyDescent="0.25">
      <c r="B49" s="35" t="s">
        <v>62</v>
      </c>
      <c r="C49" s="35" t="s">
        <v>201</v>
      </c>
      <c r="D49" s="35" t="s">
        <v>202</v>
      </c>
      <c r="E49" s="35">
        <v>1</v>
      </c>
      <c r="F49" s="35">
        <v>1</v>
      </c>
      <c r="G49" t="s">
        <v>605</v>
      </c>
    </row>
    <row r="50" spans="2:7" hidden="1" x14ac:dyDescent="0.25">
      <c r="C50" t="s">
        <v>203</v>
      </c>
      <c r="D50" t="s">
        <v>204</v>
      </c>
      <c r="E50">
        <v>1.3</v>
      </c>
      <c r="F50">
        <v>2</v>
      </c>
    </row>
    <row r="51" spans="2:7" hidden="1" x14ac:dyDescent="0.25">
      <c r="C51" t="s">
        <v>205</v>
      </c>
      <c r="D51" t="s">
        <v>206</v>
      </c>
      <c r="E51">
        <v>1.3</v>
      </c>
      <c r="F51">
        <v>2</v>
      </c>
    </row>
    <row r="56" spans="2:7" x14ac:dyDescent="0.25">
      <c r="C56" s="3"/>
    </row>
    <row r="57" spans="2:7" x14ac:dyDescent="0.25">
      <c r="C57" s="3"/>
    </row>
    <row r="58" spans="2:7" x14ac:dyDescent="0.25">
      <c r="C58" s="3"/>
    </row>
    <row r="59" spans="2:7" x14ac:dyDescent="0.25">
      <c r="C59" s="3"/>
    </row>
    <row r="61" spans="2:7" x14ac:dyDescent="0.25">
      <c r="C61" s="3"/>
    </row>
    <row r="62" spans="2:7" x14ac:dyDescent="0.25">
      <c r="C62" s="3"/>
    </row>
    <row r="63" spans="2:7" x14ac:dyDescent="0.25">
      <c r="C63" s="3"/>
    </row>
    <row r="64" spans="2:7" x14ac:dyDescent="0.25">
      <c r="C64" s="3"/>
    </row>
  </sheetData>
  <sheetProtection algorithmName="SHA-512" hashValue="aLi7BzuXYBj04uMKojrv869my8d6wDmbO5nfrVb3/Y9+ov+THVZR4I1QeRSLsc8k3S/13O9SQlOWT7tFKvWlWg==" saltValue="dUhRlbOVDeZKwXmEpYkpxQ==" spinCount="100000" sheet="1" objects="1" scenarios="1"/>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
    <pageSetUpPr fitToPage="1"/>
  </sheetPr>
  <dimension ref="A1:AS137"/>
  <sheetViews>
    <sheetView zoomScale="80" zoomScaleNormal="80" workbookViewId="0">
      <pane ySplit="5" topLeftCell="A76" activePane="bottomLeft" state="frozen"/>
      <selection activeCell="H17" sqref="H17:M17"/>
      <selection pane="bottomLeft" activeCell="H17" sqref="H17:M17"/>
    </sheetView>
  </sheetViews>
  <sheetFormatPr baseColWidth="10" defaultColWidth="10.85546875" defaultRowHeight="15" x14ac:dyDescent="0.25"/>
  <cols>
    <col min="1" max="1" width="3.85546875" style="21" bestFit="1" customWidth="1"/>
    <col min="2" max="2" width="3.85546875" style="21" customWidth="1"/>
    <col min="3" max="3" width="70.42578125" style="16" customWidth="1"/>
    <col min="4" max="4" width="21.5703125" style="16" bestFit="1" customWidth="1"/>
    <col min="5" max="5" width="14" style="21" bestFit="1" customWidth="1"/>
    <col min="6" max="6" width="10.85546875" style="21"/>
    <col min="7" max="10" width="2.5703125" style="21" customWidth="1"/>
    <col min="11" max="45" width="7.5703125" style="21" customWidth="1"/>
    <col min="46" max="16384" width="10.85546875" style="21"/>
  </cols>
  <sheetData>
    <row r="1" spans="1:45" s="40" customFormat="1" x14ac:dyDescent="0.25">
      <c r="A1" s="40">
        <v>2.2999999999999998</v>
      </c>
      <c r="C1" s="15" t="s">
        <v>105</v>
      </c>
      <c r="D1" s="15"/>
    </row>
    <row r="2" spans="1:45" s="40" customFormat="1" x14ac:dyDescent="0.25">
      <c r="C2" s="15"/>
      <c r="D2" s="15"/>
    </row>
    <row r="3" spans="1:45" s="40" customFormat="1" x14ac:dyDescent="0.25">
      <c r="C3" s="205" t="s">
        <v>229</v>
      </c>
      <c r="D3"/>
    </row>
    <row r="4" spans="1:45" s="40" customFormat="1" x14ac:dyDescent="0.25">
      <c r="C4"/>
      <c r="D4"/>
    </row>
    <row r="5" spans="1:45" s="65" customFormat="1" ht="15.75" thickBot="1" x14ac:dyDescent="0.3">
      <c r="C5" s="206"/>
      <c r="D5" s="206"/>
      <c r="G5" s="65">
        <v>2028</v>
      </c>
      <c r="H5" s="65">
        <v>2027</v>
      </c>
      <c r="I5" s="65">
        <v>2026</v>
      </c>
      <c r="J5" s="65">
        <v>2025</v>
      </c>
      <c r="K5" s="65">
        <v>2024</v>
      </c>
      <c r="L5" s="65">
        <v>2023</v>
      </c>
      <c r="M5" s="65">
        <v>2022</v>
      </c>
      <c r="N5" s="65">
        <v>2021</v>
      </c>
      <c r="O5" s="65">
        <v>2020</v>
      </c>
      <c r="P5" s="65">
        <v>2019</v>
      </c>
      <c r="Q5" s="65">
        <v>2018</v>
      </c>
      <c r="R5" s="65">
        <v>2017</v>
      </c>
      <c r="S5" s="65">
        <v>2016</v>
      </c>
      <c r="T5" s="65">
        <v>2015</v>
      </c>
      <c r="U5" s="65">
        <v>2014</v>
      </c>
      <c r="V5" s="65">
        <v>2013</v>
      </c>
      <c r="W5" s="65">
        <v>2012</v>
      </c>
      <c r="X5" s="65">
        <v>2011</v>
      </c>
      <c r="Y5" s="65">
        <v>2010</v>
      </c>
      <c r="Z5" s="65">
        <v>2009</v>
      </c>
      <c r="AA5" s="65">
        <v>2008</v>
      </c>
      <c r="AB5" s="65">
        <v>2007</v>
      </c>
      <c r="AC5" s="65">
        <v>2006</v>
      </c>
      <c r="AD5" s="65">
        <v>2005</v>
      </c>
      <c r="AE5" s="65">
        <v>2004</v>
      </c>
      <c r="AF5" s="65">
        <v>2003</v>
      </c>
      <c r="AG5" s="65">
        <v>2002</v>
      </c>
      <c r="AH5" s="65">
        <v>2001</v>
      </c>
      <c r="AI5" s="65">
        <v>2000</v>
      </c>
      <c r="AJ5" s="65">
        <v>1999</v>
      </c>
      <c r="AK5" s="65">
        <v>1998</v>
      </c>
      <c r="AL5" s="65">
        <v>1997</v>
      </c>
      <c r="AM5" s="65">
        <v>1996</v>
      </c>
      <c r="AN5" s="65">
        <v>1995</v>
      </c>
      <c r="AO5" s="65">
        <v>1994</v>
      </c>
      <c r="AP5" s="65">
        <v>1993</v>
      </c>
      <c r="AQ5" s="65">
        <v>1992</v>
      </c>
      <c r="AR5" s="65">
        <v>1991</v>
      </c>
      <c r="AS5" s="65">
        <v>1990</v>
      </c>
    </row>
    <row r="6" spans="1:45" s="40" customFormat="1" x14ac:dyDescent="0.25">
      <c r="C6"/>
      <c r="D6" s="40" t="s">
        <v>265</v>
      </c>
    </row>
    <row r="7" spans="1:45" s="51" customFormat="1" ht="18.75" x14ac:dyDescent="0.25">
      <c r="C7" s="207" t="s">
        <v>284</v>
      </c>
      <c r="D7" s="208">
        <f>(INDEX(F7:X7,MATCH(TRUE,INDEX(ISNUMBER(F7:X7),0),0)))</f>
        <v>120</v>
      </c>
      <c r="G7" s="209"/>
      <c r="H7" s="209"/>
      <c r="I7" s="209"/>
      <c r="J7" s="209"/>
      <c r="K7" s="209">
        <v>120</v>
      </c>
      <c r="L7" s="209">
        <v>120</v>
      </c>
      <c r="M7" s="209">
        <v>120</v>
      </c>
      <c r="N7" s="209">
        <v>120</v>
      </c>
      <c r="O7" s="64">
        <v>120</v>
      </c>
      <c r="P7" s="64">
        <v>120</v>
      </c>
      <c r="Q7" s="64">
        <v>120</v>
      </c>
      <c r="R7" s="64">
        <v>120</v>
      </c>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row>
    <row r="8" spans="1:45" s="64" customFormat="1" ht="18.75" x14ac:dyDescent="0.25">
      <c r="C8" s="210" t="s">
        <v>301</v>
      </c>
      <c r="D8" s="208">
        <f>(INDEX(F8:X8,MATCH(TRUE,INDEX(ISNUMBER(F8:X8),0),0)))</f>
        <v>120</v>
      </c>
      <c r="G8" s="209"/>
      <c r="H8" s="209"/>
      <c r="I8" s="209"/>
      <c r="J8" s="209"/>
      <c r="K8" s="209">
        <v>120</v>
      </c>
      <c r="L8" s="209">
        <v>120</v>
      </c>
      <c r="M8" s="209">
        <v>120</v>
      </c>
      <c r="N8" s="209">
        <v>96</v>
      </c>
      <c r="O8" s="209">
        <v>96</v>
      </c>
      <c r="P8" s="209">
        <v>96</v>
      </c>
      <c r="Q8" s="209">
        <v>96</v>
      </c>
      <c r="R8" s="209">
        <v>84</v>
      </c>
      <c r="S8" s="209">
        <v>84</v>
      </c>
      <c r="T8" s="209">
        <v>60</v>
      </c>
      <c r="U8" s="209">
        <v>60</v>
      </c>
      <c r="V8" s="209">
        <v>36</v>
      </c>
      <c r="W8" s="209">
        <v>36</v>
      </c>
      <c r="X8" s="209">
        <v>36</v>
      </c>
      <c r="Y8" s="209">
        <v>36</v>
      </c>
      <c r="Z8" s="209">
        <v>12</v>
      </c>
      <c r="AA8" s="209">
        <v>12</v>
      </c>
      <c r="AB8" s="209">
        <v>0</v>
      </c>
      <c r="AC8" s="209">
        <v>0</v>
      </c>
      <c r="AD8" s="209">
        <v>0</v>
      </c>
      <c r="AE8" s="209">
        <v>0</v>
      </c>
      <c r="AF8" s="209">
        <v>0</v>
      </c>
      <c r="AG8" s="209">
        <v>0</v>
      </c>
      <c r="AH8" s="209">
        <v>0</v>
      </c>
      <c r="AI8" s="209">
        <v>0</v>
      </c>
      <c r="AJ8" s="209">
        <v>0</v>
      </c>
      <c r="AK8" s="209">
        <v>0</v>
      </c>
      <c r="AL8" s="209">
        <v>0</v>
      </c>
      <c r="AM8" s="209">
        <v>0</v>
      </c>
      <c r="AN8" s="209">
        <v>0</v>
      </c>
      <c r="AO8" s="209">
        <v>0</v>
      </c>
      <c r="AP8" s="209">
        <v>0</v>
      </c>
      <c r="AQ8" s="209">
        <v>0</v>
      </c>
      <c r="AR8" s="209">
        <v>0</v>
      </c>
      <c r="AS8" s="209">
        <v>0</v>
      </c>
    </row>
    <row r="9" spans="1:45" s="64" customFormat="1" ht="18" x14ac:dyDescent="0.25">
      <c r="C9" s="210" t="s">
        <v>266</v>
      </c>
      <c r="D9" s="208">
        <f>(INDEX(F9:X9,MATCH(TRUE,INDEX(ISNUMBER(F9:X9),0),0)))</f>
        <v>120</v>
      </c>
      <c r="G9" s="209" t="str">
        <f>IF(OR(G7=0,G8=0),"",AVERAGE(G7,G8))</f>
        <v/>
      </c>
      <c r="H9" s="209"/>
      <c r="I9" s="209"/>
      <c r="J9" s="209"/>
      <c r="K9" s="209">
        <f>IF(OR(K7=0,K8=0),"",AVERAGE(K7,K8))</f>
        <v>120</v>
      </c>
      <c r="L9" s="209">
        <f>IF(OR(L7=0,L8=0),"",AVERAGE(L7,L8))</f>
        <v>120</v>
      </c>
      <c r="M9" s="209">
        <f>IF(OR(M7=0,M8=0),"",AVERAGE(M7,M8))</f>
        <v>120</v>
      </c>
      <c r="N9" s="209">
        <f>IF(OR(N7=0,N8=0),"",AVERAGE(N7,N8))</f>
        <v>108</v>
      </c>
      <c r="O9" s="209">
        <f>AVERAGE(O7:O8)</f>
        <v>108</v>
      </c>
      <c r="P9" s="209">
        <f>AVERAGE(P7:P8)</f>
        <v>108</v>
      </c>
      <c r="Q9" s="209">
        <f>AVERAGE(Q7:Q8)</f>
        <v>108</v>
      </c>
      <c r="R9" s="209">
        <f>AVERAGE(R7:R8)</f>
        <v>102</v>
      </c>
    </row>
    <row r="10" spans="1:45" s="64" customFormat="1" ht="18.75" x14ac:dyDescent="0.25">
      <c r="C10" s="210" t="s">
        <v>302</v>
      </c>
      <c r="D10" s="210"/>
      <c r="E10" s="210"/>
      <c r="G10" s="211" t="str">
        <f>IF(G9="","",G9/1000*2.9)</f>
        <v/>
      </c>
      <c r="H10" s="211"/>
      <c r="I10" s="211"/>
      <c r="J10" s="211"/>
      <c r="K10" s="211">
        <f>IF(K9="","",K9/1000*2.9)</f>
        <v>0.34799999999999998</v>
      </c>
      <c r="L10" s="211">
        <f>IF(L9="","",L9/1000*2.9)</f>
        <v>0.34799999999999998</v>
      </c>
      <c r="M10" s="211">
        <f>IF(M9="","",M9/1000*2.9)</f>
        <v>0.34799999999999998</v>
      </c>
      <c r="N10" s="211">
        <f>IF(N9="","",N9/1000*2.9)</f>
        <v>0.31319999999999998</v>
      </c>
      <c r="O10" s="211">
        <f>O8/1000*2.9</f>
        <v>0.27839999999999998</v>
      </c>
      <c r="P10" s="211">
        <f t="shared" ref="P10:AS10" si="0">P8/1000*2.9</f>
        <v>0.27839999999999998</v>
      </c>
      <c r="Q10" s="211">
        <f t="shared" si="0"/>
        <v>0.27839999999999998</v>
      </c>
      <c r="R10" s="211">
        <f t="shared" si="0"/>
        <v>0.24360000000000001</v>
      </c>
      <c r="S10" s="211">
        <f t="shared" si="0"/>
        <v>0.24360000000000001</v>
      </c>
      <c r="T10" s="211">
        <f t="shared" si="0"/>
        <v>0.17399999999999999</v>
      </c>
      <c r="U10" s="211">
        <f t="shared" si="0"/>
        <v>0.17399999999999999</v>
      </c>
      <c r="V10" s="211">
        <f t="shared" si="0"/>
        <v>0.10439999999999999</v>
      </c>
      <c r="W10" s="211">
        <f t="shared" si="0"/>
        <v>0.10439999999999999</v>
      </c>
      <c r="X10" s="211">
        <f t="shared" si="0"/>
        <v>0.10439999999999999</v>
      </c>
      <c r="Y10" s="211">
        <f t="shared" si="0"/>
        <v>0.10439999999999999</v>
      </c>
      <c r="Z10" s="211">
        <f t="shared" si="0"/>
        <v>3.4799999999999998E-2</v>
      </c>
      <c r="AA10" s="211">
        <f t="shared" si="0"/>
        <v>3.4799999999999998E-2</v>
      </c>
      <c r="AB10" s="211">
        <f t="shared" si="0"/>
        <v>0</v>
      </c>
      <c r="AC10" s="211">
        <f t="shared" si="0"/>
        <v>0</v>
      </c>
      <c r="AD10" s="211">
        <f t="shared" si="0"/>
        <v>0</v>
      </c>
      <c r="AE10" s="211">
        <f t="shared" si="0"/>
        <v>0</v>
      </c>
      <c r="AF10" s="211">
        <f t="shared" si="0"/>
        <v>0</v>
      </c>
      <c r="AG10" s="211">
        <f t="shared" si="0"/>
        <v>0</v>
      </c>
      <c r="AH10" s="211">
        <f t="shared" si="0"/>
        <v>0</v>
      </c>
      <c r="AI10" s="211">
        <f t="shared" si="0"/>
        <v>0</v>
      </c>
      <c r="AJ10" s="211">
        <f t="shared" si="0"/>
        <v>0</v>
      </c>
      <c r="AK10" s="211">
        <f t="shared" si="0"/>
        <v>0</v>
      </c>
      <c r="AL10" s="211">
        <f t="shared" si="0"/>
        <v>0</v>
      </c>
      <c r="AM10" s="211">
        <f t="shared" si="0"/>
        <v>0</v>
      </c>
      <c r="AN10" s="211">
        <f t="shared" si="0"/>
        <v>0</v>
      </c>
      <c r="AO10" s="211">
        <f t="shared" si="0"/>
        <v>0</v>
      </c>
      <c r="AP10" s="211">
        <f t="shared" si="0"/>
        <v>0</v>
      </c>
      <c r="AQ10" s="211">
        <f t="shared" si="0"/>
        <v>0</v>
      </c>
      <c r="AR10" s="211">
        <f t="shared" si="0"/>
        <v>0</v>
      </c>
      <c r="AS10" s="211">
        <f t="shared" si="0"/>
        <v>0</v>
      </c>
    </row>
    <row r="11" spans="1:45" s="64" customFormat="1" ht="18.75" x14ac:dyDescent="0.25">
      <c r="C11" s="210" t="s">
        <v>304</v>
      </c>
      <c r="D11" s="210"/>
      <c r="E11" s="210"/>
      <c r="G11" s="211" t="str">
        <f>IF(G9="","",G9/1000*0.22)</f>
        <v/>
      </c>
      <c r="H11" s="211"/>
      <c r="I11" s="211"/>
      <c r="J11" s="211"/>
      <c r="K11" s="211">
        <f>IF(K9="","",K9/1000*0.22)</f>
        <v>2.64E-2</v>
      </c>
      <c r="L11" s="211">
        <f>IF(L9="","",L9/1000*0.22)</f>
        <v>2.64E-2</v>
      </c>
      <c r="M11" s="211">
        <f>IF(M9="","",M9/1000*0.22)</f>
        <v>2.64E-2</v>
      </c>
      <c r="N11" s="211">
        <f>IF(N9="","",N9/1000*0.22)</f>
        <v>2.376E-2</v>
      </c>
      <c r="O11" s="211">
        <f>O8/1000*0.22</f>
        <v>2.112E-2</v>
      </c>
      <c r="P11" s="211">
        <f t="shared" ref="P11:AS11" si="1">P8/1000*0.22</f>
        <v>2.112E-2</v>
      </c>
      <c r="Q11" s="211">
        <f t="shared" si="1"/>
        <v>2.112E-2</v>
      </c>
      <c r="R11" s="211">
        <f t="shared" si="1"/>
        <v>1.848E-2</v>
      </c>
      <c r="S11" s="211">
        <f t="shared" si="1"/>
        <v>1.848E-2</v>
      </c>
      <c r="T11" s="211">
        <f t="shared" si="1"/>
        <v>1.32E-2</v>
      </c>
      <c r="U11" s="211">
        <f t="shared" si="1"/>
        <v>1.32E-2</v>
      </c>
      <c r="V11" s="211">
        <f t="shared" si="1"/>
        <v>7.92E-3</v>
      </c>
      <c r="W11" s="211">
        <f t="shared" si="1"/>
        <v>7.92E-3</v>
      </c>
      <c r="X11" s="211">
        <f t="shared" si="1"/>
        <v>7.92E-3</v>
      </c>
      <c r="Y11" s="211">
        <f t="shared" si="1"/>
        <v>7.92E-3</v>
      </c>
      <c r="Z11" s="211">
        <f t="shared" si="1"/>
        <v>2.64E-3</v>
      </c>
      <c r="AA11" s="211">
        <f t="shared" si="1"/>
        <v>2.64E-3</v>
      </c>
      <c r="AB11" s="211">
        <f t="shared" si="1"/>
        <v>0</v>
      </c>
      <c r="AC11" s="211">
        <f t="shared" si="1"/>
        <v>0</v>
      </c>
      <c r="AD11" s="211">
        <f t="shared" si="1"/>
        <v>0</v>
      </c>
      <c r="AE11" s="211">
        <f t="shared" si="1"/>
        <v>0</v>
      </c>
      <c r="AF11" s="211">
        <f t="shared" si="1"/>
        <v>0</v>
      </c>
      <c r="AG11" s="211">
        <f t="shared" si="1"/>
        <v>0</v>
      </c>
      <c r="AH11" s="211">
        <f t="shared" si="1"/>
        <v>0</v>
      </c>
      <c r="AI11" s="211">
        <f t="shared" si="1"/>
        <v>0</v>
      </c>
      <c r="AJ11" s="211">
        <f t="shared" si="1"/>
        <v>0</v>
      </c>
      <c r="AK11" s="211">
        <f t="shared" si="1"/>
        <v>0</v>
      </c>
      <c r="AL11" s="211">
        <f t="shared" si="1"/>
        <v>0</v>
      </c>
      <c r="AM11" s="211">
        <f t="shared" si="1"/>
        <v>0</v>
      </c>
      <c r="AN11" s="211">
        <f t="shared" si="1"/>
        <v>0</v>
      </c>
      <c r="AO11" s="211">
        <f t="shared" si="1"/>
        <v>0</v>
      </c>
      <c r="AP11" s="211">
        <f t="shared" si="1"/>
        <v>0</v>
      </c>
      <c r="AQ11" s="211">
        <f t="shared" si="1"/>
        <v>0</v>
      </c>
      <c r="AR11" s="211">
        <f t="shared" si="1"/>
        <v>0</v>
      </c>
      <c r="AS11" s="211">
        <f t="shared" si="1"/>
        <v>0</v>
      </c>
    </row>
    <row r="12" spans="1:45" s="51" customFormat="1" ht="17.25" x14ac:dyDescent="0.25">
      <c r="C12" s="212" t="s">
        <v>306</v>
      </c>
      <c r="D12" s="213">
        <f>(INDEX(F12:X12,MATCH(TRUE,INDEX(ISNUMBER(F12:X12),0),0)))</f>
        <v>8.1000000000000003E-2</v>
      </c>
      <c r="E12" s="212"/>
      <c r="F12" s="69"/>
      <c r="G12" s="214"/>
      <c r="H12" s="214"/>
      <c r="I12" s="214"/>
      <c r="J12" s="214"/>
      <c r="K12" s="214">
        <v>8.1000000000000003E-2</v>
      </c>
      <c r="L12" s="214">
        <v>7.6999999999999999E-2</v>
      </c>
      <c r="M12" s="214">
        <v>7.6999999999999999E-2</v>
      </c>
      <c r="N12" s="214">
        <v>7.6999999999999999E-2</v>
      </c>
      <c r="O12" s="214">
        <v>7.6999999999999999E-2</v>
      </c>
      <c r="P12" s="215">
        <v>7.6999999999999999E-2</v>
      </c>
      <c r="Q12" s="215">
        <v>7.6999999999999999E-2</v>
      </c>
      <c r="R12" s="215">
        <v>0.08</v>
      </c>
      <c r="S12" s="215">
        <v>0.08</v>
      </c>
      <c r="T12" s="215">
        <v>0.08</v>
      </c>
      <c r="U12" s="215">
        <v>0.08</v>
      </c>
      <c r="V12" s="215">
        <v>0.08</v>
      </c>
      <c r="W12" s="215">
        <v>0.08</v>
      </c>
      <c r="X12" s="215">
        <v>0.08</v>
      </c>
      <c r="Y12" s="215">
        <v>7.5999999999999998E-2</v>
      </c>
      <c r="Z12" s="215">
        <v>7.5999999999999998E-2</v>
      </c>
      <c r="AA12" s="215">
        <v>7.5999999999999998E-2</v>
      </c>
      <c r="AB12" s="215">
        <v>7.5999999999999998E-2</v>
      </c>
      <c r="AC12" s="215">
        <v>7.5999999999999998E-2</v>
      </c>
      <c r="AD12" s="215">
        <v>7.5999999999999998E-2</v>
      </c>
      <c r="AE12" s="215">
        <v>7.5999999999999998E-2</v>
      </c>
      <c r="AF12" s="215">
        <v>7.5999999999999998E-2</v>
      </c>
      <c r="AG12" s="215">
        <v>7.5999999999999998E-2</v>
      </c>
      <c r="AH12" s="215">
        <v>7.5999999999999998E-2</v>
      </c>
      <c r="AI12" s="215">
        <v>7.4999999999999997E-2</v>
      </c>
      <c r="AJ12" s="215">
        <v>7.4999999999999997E-2</v>
      </c>
      <c r="AK12" s="215">
        <v>6.5000000000000002E-2</v>
      </c>
      <c r="AL12" s="215">
        <v>6.5000000000000002E-2</v>
      </c>
      <c r="AM12" s="215">
        <v>6.5000000000000002E-2</v>
      </c>
      <c r="AN12" s="215">
        <v>6.5000000000000002E-2</v>
      </c>
      <c r="AO12" s="215">
        <v>0</v>
      </c>
      <c r="AP12" s="215">
        <v>0</v>
      </c>
      <c r="AQ12" s="215">
        <v>0</v>
      </c>
      <c r="AR12" s="215">
        <v>0</v>
      </c>
      <c r="AS12" s="215">
        <v>0</v>
      </c>
    </row>
    <row r="13" spans="1:45" s="51" customFormat="1" ht="17.25" x14ac:dyDescent="0.25">
      <c r="C13" s="207" t="s">
        <v>308</v>
      </c>
      <c r="D13" s="207"/>
      <c r="E13" s="216"/>
      <c r="F13" s="216"/>
      <c r="G13" s="214"/>
      <c r="H13" s="214"/>
      <c r="I13" s="214"/>
      <c r="J13" s="214"/>
      <c r="K13" s="214"/>
      <c r="L13" s="214">
        <v>2.1000000000000001E-2</v>
      </c>
      <c r="M13" s="214">
        <v>2.8000000000000001E-2</v>
      </c>
      <c r="N13" s="214">
        <v>6.0000000000000001E-3</v>
      </c>
      <c r="O13" s="214">
        <v>-7.0000000000000001E-3</v>
      </c>
      <c r="P13" s="214">
        <v>4.0000000000000001E-3</v>
      </c>
      <c r="Q13" s="214">
        <v>8.9999999999999993E-3</v>
      </c>
      <c r="R13" s="214">
        <v>5.0000000000000001E-3</v>
      </c>
      <c r="S13" s="214">
        <v>-4.0000000000000001E-3</v>
      </c>
      <c r="T13" s="214">
        <v>-1.0999999999999999E-2</v>
      </c>
      <c r="U13" s="214">
        <v>0</v>
      </c>
      <c r="V13" s="214">
        <v>-2E-3</v>
      </c>
      <c r="W13" s="214">
        <v>-7.0000000000000001E-3</v>
      </c>
      <c r="X13" s="214">
        <v>2E-3</v>
      </c>
      <c r="Y13" s="214">
        <v>7.0000000000000001E-3</v>
      </c>
      <c r="Z13" s="214">
        <v>-5.0000000000000001E-3</v>
      </c>
      <c r="AA13" s="214">
        <v>2.4E-2</v>
      </c>
      <c r="AB13" s="214">
        <v>7.0000000000000001E-3</v>
      </c>
      <c r="AC13" s="214">
        <v>1.0999999999999999E-2</v>
      </c>
      <c r="AD13" s="214">
        <v>1.2E-2</v>
      </c>
      <c r="AE13" s="214">
        <v>8.0000000000000002E-3</v>
      </c>
      <c r="AF13" s="214">
        <v>6.0000000000000001E-3</v>
      </c>
      <c r="AG13" s="214">
        <v>6.0000000000000001E-3</v>
      </c>
      <c r="AH13" s="214">
        <v>0.01</v>
      </c>
      <c r="AI13" s="214">
        <v>1.6E-2</v>
      </c>
      <c r="AJ13" s="214">
        <v>8.0000000000000002E-3</v>
      </c>
      <c r="AK13" s="217">
        <v>0</v>
      </c>
      <c r="AL13" s="217">
        <v>5.0000000000000001E-3</v>
      </c>
      <c r="AM13" s="217">
        <v>8.0000000000000002E-3</v>
      </c>
      <c r="AN13" s="217">
        <v>1.7999999999999999E-2</v>
      </c>
      <c r="AO13" s="217">
        <v>8.9999999999999993E-3</v>
      </c>
      <c r="AP13" s="217">
        <v>3.3000000000000002E-2</v>
      </c>
      <c r="AQ13" s="217">
        <v>0.04</v>
      </c>
      <c r="AR13" s="217">
        <v>5.8999999999999997E-2</v>
      </c>
      <c r="AS13" s="217">
        <v>5.3999999999999999E-2</v>
      </c>
    </row>
    <row r="14" spans="1:45" s="69" customFormat="1" ht="17.25" x14ac:dyDescent="0.25">
      <c r="C14" s="212" t="s">
        <v>309</v>
      </c>
      <c r="D14" s="212"/>
      <c r="E14" s="218"/>
      <c r="F14" s="218"/>
      <c r="G14" s="219"/>
      <c r="H14" s="219"/>
      <c r="I14" s="219"/>
      <c r="J14" s="219"/>
      <c r="K14" s="219"/>
      <c r="L14" s="219">
        <v>352.5</v>
      </c>
      <c r="M14" s="219">
        <v>345.1</v>
      </c>
      <c r="N14" s="219">
        <v>335.6</v>
      </c>
      <c r="O14" s="219">
        <v>333.7</v>
      </c>
      <c r="P14" s="219">
        <v>336.1</v>
      </c>
      <c r="Q14" s="219">
        <v>334.9</v>
      </c>
      <c r="R14" s="219">
        <v>331.8</v>
      </c>
      <c r="S14" s="219">
        <v>330</v>
      </c>
      <c r="T14" s="219">
        <v>331.5</v>
      </c>
      <c r="U14" s="219">
        <v>335.3</v>
      </c>
      <c r="V14" s="219">
        <v>335.4</v>
      </c>
      <c r="W14" s="219">
        <v>336.1</v>
      </c>
      <c r="X14" s="219">
        <v>338.5</v>
      </c>
      <c r="Y14" s="219">
        <v>337.6</v>
      </c>
      <c r="Z14" s="219">
        <v>335.3</v>
      </c>
      <c r="AA14" s="219">
        <v>337</v>
      </c>
      <c r="AB14" s="219">
        <v>329</v>
      </c>
      <c r="AC14" s="219">
        <v>326.60000000000002</v>
      </c>
      <c r="AD14" s="219">
        <v>323.2</v>
      </c>
      <c r="AE14" s="219">
        <v>319.39999999999998</v>
      </c>
      <c r="AF14" s="219">
        <v>316.89999999999998</v>
      </c>
      <c r="AG14" s="219">
        <v>314.89999999999998</v>
      </c>
      <c r="AH14" s="219">
        <v>312.89999999999998</v>
      </c>
      <c r="AI14" s="219">
        <v>309.8</v>
      </c>
      <c r="AJ14" s="219">
        <v>305</v>
      </c>
      <c r="AK14" s="69">
        <v>302.60000000000002</v>
      </c>
      <c r="AL14" s="69">
        <v>302.5</v>
      </c>
      <c r="AM14" s="69">
        <v>301</v>
      </c>
      <c r="AN14" s="69">
        <v>298.60000000000002</v>
      </c>
      <c r="AO14" s="69">
        <v>293.3</v>
      </c>
      <c r="AP14" s="69">
        <v>290.8</v>
      </c>
      <c r="AQ14" s="69">
        <v>281.5</v>
      </c>
      <c r="AR14" s="69">
        <v>270.60000000000002</v>
      </c>
      <c r="AS14" s="69">
        <v>255.6</v>
      </c>
    </row>
    <row r="15" spans="1:45" s="69" customFormat="1" ht="17.25" x14ac:dyDescent="0.25">
      <c r="C15" s="212" t="s">
        <v>426</v>
      </c>
      <c r="D15" s="212"/>
      <c r="E15" s="218"/>
      <c r="F15" s="218"/>
      <c r="G15" s="219"/>
      <c r="H15" s="219"/>
      <c r="I15" s="219"/>
      <c r="J15" s="219"/>
      <c r="K15" s="219"/>
      <c r="L15" s="219">
        <v>114.2</v>
      </c>
      <c r="M15" s="219">
        <v>111.8</v>
      </c>
      <c r="N15" s="219">
        <v>108.7</v>
      </c>
      <c r="O15" s="219">
        <v>108.1</v>
      </c>
      <c r="P15" s="219">
        <v>108.9</v>
      </c>
      <c r="Q15" s="219">
        <v>108.5</v>
      </c>
      <c r="R15" s="219">
        <v>107.5</v>
      </c>
      <c r="S15" s="219">
        <v>106.9</v>
      </c>
      <c r="T15" s="219">
        <v>107.4</v>
      </c>
      <c r="U15" s="219">
        <v>108.6</v>
      </c>
      <c r="V15" s="219">
        <v>108.6</v>
      </c>
      <c r="W15" s="219">
        <v>108.8</v>
      </c>
      <c r="X15" s="219">
        <v>109.6</v>
      </c>
      <c r="Y15" s="219">
        <v>109.4</v>
      </c>
      <c r="Z15" s="219">
        <v>108.6</v>
      </c>
      <c r="AA15" s="219">
        <v>109.1</v>
      </c>
      <c r="AB15" s="219">
        <v>106.5</v>
      </c>
      <c r="AC15" s="219">
        <v>105.8</v>
      </c>
      <c r="AD15" s="219">
        <v>104.7</v>
      </c>
      <c r="AE15" s="219">
        <v>103.4</v>
      </c>
      <c r="AF15" s="219">
        <v>102.6</v>
      </c>
      <c r="AG15" s="219">
        <v>102</v>
      </c>
      <c r="AH15" s="219">
        <v>101.3</v>
      </c>
      <c r="AI15" s="219">
        <v>100.6</v>
      </c>
      <c r="AJ15" s="219"/>
    </row>
    <row r="16" spans="1:45" s="67" customFormat="1" ht="15.75" thickBot="1" x14ac:dyDescent="0.3">
      <c r="C16" s="220"/>
      <c r="D16" s="220"/>
    </row>
    <row r="17" spans="2:45" ht="45" x14ac:dyDescent="0.25">
      <c r="D17" s="15" t="s">
        <v>275</v>
      </c>
      <c r="E17" s="15" t="s">
        <v>106</v>
      </c>
      <c r="F17" s="40"/>
    </row>
    <row r="18" spans="2:45" s="42" customFormat="1" ht="17.25" x14ac:dyDescent="0.25">
      <c r="C18" s="221" t="s">
        <v>324</v>
      </c>
      <c r="D18" s="221"/>
      <c r="E18" s="222">
        <f>AVERAGE(INDEX(F18:X18,(MATCH(TRUE,INDEX(ISNUMBER(F18:X18),0),0))),INDEX(F18:X18,(MATCH(TRUE,INDEX(ISNUMBER(F18:X18),0),0)+1)),INDEX(F18:X18,(MATCH(TRUE,INDEX(ISNUMBER(F18:X18),0),0)+2)),INDEX(F18:X18,(MATCH(TRUE,INDEX(ISNUMBER(F18:X18),0),0)+3)))</f>
        <v>22.072500000000002</v>
      </c>
      <c r="G18" s="223"/>
      <c r="H18" s="223"/>
      <c r="I18" s="223"/>
      <c r="J18" s="223"/>
      <c r="K18" s="223">
        <v>31.14</v>
      </c>
      <c r="L18" s="223">
        <v>22.17</v>
      </c>
      <c r="M18" s="223">
        <v>17.36</v>
      </c>
      <c r="N18" s="223">
        <v>17.62</v>
      </c>
      <c r="O18" s="223">
        <v>18.39</v>
      </c>
      <c r="P18" s="224">
        <v>17.87</v>
      </c>
      <c r="Q18" s="224">
        <v>17.559999999999999</v>
      </c>
      <c r="R18" s="224">
        <v>16.920000000000002</v>
      </c>
      <c r="S18" s="224">
        <v>17.36</v>
      </c>
      <c r="T18" s="224">
        <v>18.11</v>
      </c>
      <c r="U18" s="224">
        <v>17.91</v>
      </c>
      <c r="V18" s="224">
        <v>18.37</v>
      </c>
      <c r="W18" s="224">
        <v>18.77</v>
      </c>
      <c r="X18" s="224">
        <v>18.670000000000002</v>
      </c>
      <c r="Y18" s="224">
        <v>16.829999999999998</v>
      </c>
      <c r="Z18" s="224">
        <v>15.95</v>
      </c>
      <c r="AA18" s="224"/>
      <c r="AB18" s="224"/>
      <c r="AC18" s="224"/>
      <c r="AD18" s="224"/>
      <c r="AE18" s="224"/>
      <c r="AF18" s="224"/>
      <c r="AG18" s="224"/>
      <c r="AH18" s="224"/>
      <c r="AI18" s="224"/>
      <c r="AJ18" s="224"/>
      <c r="AK18" s="224"/>
      <c r="AL18" s="224"/>
      <c r="AM18" s="224"/>
      <c r="AN18" s="224"/>
      <c r="AO18" s="224"/>
      <c r="AP18" s="224"/>
      <c r="AQ18" s="224"/>
      <c r="AR18" s="224"/>
      <c r="AS18" s="224"/>
    </row>
    <row r="19" spans="2:45" s="42" customFormat="1" ht="17.25" x14ac:dyDescent="0.25">
      <c r="B19" s="42" t="s">
        <v>273</v>
      </c>
      <c r="C19" s="221" t="s">
        <v>325</v>
      </c>
      <c r="D19" s="225">
        <f>E18+E18*$D$12</f>
        <v>23.8603725</v>
      </c>
      <c r="E19" s="226"/>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row>
    <row r="20" spans="2:45" s="42" customFormat="1" ht="17.25" x14ac:dyDescent="0.25">
      <c r="C20" s="221" t="s">
        <v>326</v>
      </c>
      <c r="D20" s="226"/>
      <c r="E20" s="222">
        <f>AVERAGE(INDEX(F20:X20,(MATCH(TRUE,INDEX(ISNUMBER(F20:X20),0),0))),INDEX(F20:X20,(MATCH(TRUE,INDEX(ISNUMBER(F20:X20),0),0)+1)),INDEX(F20:X20,(MATCH(TRUE,INDEX(ISNUMBER(F20:X20),0),0)+2)),INDEX(F20:X20,(MATCH(TRUE,INDEX(ISNUMBER(F20:X20),0),0)+3)))</f>
        <v>21.137499999999999</v>
      </c>
      <c r="G20" s="223"/>
      <c r="H20" s="223"/>
      <c r="I20" s="223"/>
      <c r="J20" s="223"/>
      <c r="K20" s="223">
        <v>30.24</v>
      </c>
      <c r="L20" s="223">
        <v>21.24</v>
      </c>
      <c r="M20" s="223">
        <v>16.41</v>
      </c>
      <c r="N20" s="223">
        <v>16.66</v>
      </c>
      <c r="O20" s="223">
        <v>17.36</v>
      </c>
      <c r="P20" s="224">
        <v>16.89</v>
      </c>
      <c r="Q20" s="224">
        <v>16.670000000000002</v>
      </c>
      <c r="R20" s="224">
        <v>15.24</v>
      </c>
      <c r="S20" s="224">
        <v>16.649999999999999</v>
      </c>
      <c r="T20" s="224">
        <v>17.37</v>
      </c>
      <c r="U20" s="224">
        <v>17.12</v>
      </c>
      <c r="V20" s="224">
        <v>17.71</v>
      </c>
      <c r="W20" s="224">
        <v>18.170000000000002</v>
      </c>
      <c r="X20" s="224">
        <v>17.7</v>
      </c>
      <c r="Y20" s="224">
        <v>15.69</v>
      </c>
      <c r="Z20" s="224">
        <v>14.86</v>
      </c>
      <c r="AA20" s="224"/>
      <c r="AB20" s="224"/>
      <c r="AC20" s="224"/>
      <c r="AD20" s="224"/>
      <c r="AE20" s="224"/>
      <c r="AF20" s="224"/>
      <c r="AG20" s="224"/>
      <c r="AH20" s="224"/>
      <c r="AI20" s="224"/>
      <c r="AJ20" s="224"/>
      <c r="AK20" s="224"/>
      <c r="AL20" s="224"/>
      <c r="AM20" s="224"/>
      <c r="AN20" s="224"/>
      <c r="AO20" s="224"/>
      <c r="AP20" s="224"/>
      <c r="AQ20" s="224"/>
      <c r="AR20" s="224"/>
      <c r="AS20" s="224"/>
    </row>
    <row r="21" spans="2:45" s="42" customFormat="1" ht="17.25" x14ac:dyDescent="0.25">
      <c r="B21" s="42" t="s">
        <v>274</v>
      </c>
      <c r="C21" s="221" t="s">
        <v>327</v>
      </c>
      <c r="D21" s="225">
        <f>E20+E20*$D$12</f>
        <v>22.8496375</v>
      </c>
      <c r="E21" s="226"/>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row>
    <row r="22" spans="2:45" s="42" customFormat="1" ht="17.25" x14ac:dyDescent="0.25">
      <c r="C22" s="221" t="s">
        <v>328</v>
      </c>
      <c r="D22" s="226"/>
      <c r="E22" s="222">
        <f>AVERAGE(INDEX(F22:X22,(MATCH(TRUE,INDEX(ISNUMBER(F22:X22),0),0))),INDEX(F22:X22,(MATCH(TRUE,INDEX(ISNUMBER(F22:X22),0),0)+1)),INDEX(F22:X22,(MATCH(TRUE,INDEX(ISNUMBER(F22:X22),0),0)+2)),INDEX(F22:X22,(MATCH(TRUE,INDEX(ISNUMBER(F22:X22),0),0)+3)))</f>
        <v>19.5425</v>
      </c>
      <c r="G22" s="223"/>
      <c r="H22" s="223"/>
      <c r="I22" s="223"/>
      <c r="J22" s="223"/>
      <c r="K22" s="223">
        <v>29.63</v>
      </c>
      <c r="L22" s="223">
        <v>19.53</v>
      </c>
      <c r="M22" s="223">
        <v>14.59</v>
      </c>
      <c r="N22" s="223">
        <v>14.42</v>
      </c>
      <c r="O22" s="223">
        <v>16.149999999999999</v>
      </c>
      <c r="P22" s="224">
        <v>15.1</v>
      </c>
      <c r="Q22" s="224">
        <v>14.6</v>
      </c>
      <c r="R22" s="224">
        <v>14.53</v>
      </c>
      <c r="S22" s="224">
        <v>14.63</v>
      </c>
      <c r="T22" s="224">
        <v>15.34</v>
      </c>
      <c r="U22" s="224">
        <v>15.14</v>
      </c>
      <c r="V22" s="224">
        <v>15.24</v>
      </c>
      <c r="W22" s="224">
        <v>15.19</v>
      </c>
      <c r="X22" s="224">
        <v>15.37</v>
      </c>
      <c r="Y22" s="224">
        <v>13.97</v>
      </c>
      <c r="Z22" s="224">
        <v>13.31</v>
      </c>
      <c r="AA22" s="224"/>
      <c r="AB22" s="224"/>
      <c r="AC22" s="224"/>
      <c r="AD22" s="224"/>
      <c r="AE22" s="224"/>
      <c r="AF22" s="224"/>
      <c r="AG22" s="224"/>
      <c r="AH22" s="224"/>
      <c r="AI22" s="224"/>
      <c r="AJ22" s="224"/>
      <c r="AK22" s="224"/>
      <c r="AL22" s="224"/>
      <c r="AM22" s="224"/>
      <c r="AN22" s="224"/>
      <c r="AO22" s="224"/>
      <c r="AP22" s="224"/>
      <c r="AQ22" s="224"/>
      <c r="AR22" s="224"/>
      <c r="AS22" s="224"/>
    </row>
    <row r="23" spans="2:45" s="42" customFormat="1" ht="17.25" x14ac:dyDescent="0.25">
      <c r="B23" s="42" t="s">
        <v>254</v>
      </c>
      <c r="C23" s="221" t="s">
        <v>329</v>
      </c>
      <c r="D23" s="225">
        <f>E22+E22*$D$12</f>
        <v>21.125442500000002</v>
      </c>
      <c r="E23" s="226"/>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row>
    <row r="24" spans="2:45" s="42" customFormat="1" ht="17.25" x14ac:dyDescent="0.25">
      <c r="C24" s="221" t="s">
        <v>330</v>
      </c>
      <c r="D24" s="226"/>
      <c r="E24" s="222">
        <f>AVERAGE(INDEX(F24:X24,(MATCH(TRUE,INDEX(ISNUMBER(F24:X24),0),0))),INDEX(F24:X24,(MATCH(TRUE,INDEX(ISNUMBER(F24:X24),0),0)+1)),INDEX(F24:X24,(MATCH(TRUE,INDEX(ISNUMBER(F24:X24),0),0)+2)),INDEX(F24:X24,(MATCH(TRUE,INDEX(ISNUMBER(F24:X24),0),0)+3)))</f>
        <v>18.622499999999999</v>
      </c>
      <c r="G24" s="223"/>
      <c r="H24" s="223"/>
      <c r="I24" s="223"/>
      <c r="J24" s="223"/>
      <c r="K24" s="223">
        <v>28.66</v>
      </c>
      <c r="L24" s="223">
        <v>18.61</v>
      </c>
      <c r="M24" s="223">
        <v>13.69</v>
      </c>
      <c r="N24" s="223">
        <v>13.53</v>
      </c>
      <c r="O24" s="223">
        <v>15.41</v>
      </c>
      <c r="P24" s="224">
        <v>13.71</v>
      </c>
      <c r="Q24" s="224">
        <v>13.74</v>
      </c>
      <c r="R24" s="224">
        <v>13.59</v>
      </c>
      <c r="S24" s="224">
        <v>13.45</v>
      </c>
      <c r="T24" s="224">
        <v>14.27</v>
      </c>
      <c r="U24" s="224">
        <v>14.19</v>
      </c>
      <c r="V24" s="224">
        <v>14.37</v>
      </c>
      <c r="W24" s="224">
        <v>14.23</v>
      </c>
      <c r="X24" s="224">
        <v>14.15</v>
      </c>
      <c r="Y24" s="224">
        <v>12.75</v>
      </c>
      <c r="Z24" s="224">
        <v>12.22</v>
      </c>
      <c r="AA24" s="224"/>
      <c r="AB24" s="224"/>
      <c r="AC24" s="224"/>
      <c r="AD24" s="224"/>
      <c r="AE24" s="224"/>
      <c r="AF24" s="224"/>
      <c r="AG24" s="224"/>
      <c r="AH24" s="224"/>
      <c r="AI24" s="224"/>
      <c r="AJ24" s="224"/>
      <c r="AK24" s="224"/>
      <c r="AL24" s="224"/>
      <c r="AM24" s="224"/>
      <c r="AN24" s="224"/>
      <c r="AO24" s="224"/>
      <c r="AP24" s="224"/>
      <c r="AQ24" s="224"/>
      <c r="AR24" s="224"/>
      <c r="AS24" s="224"/>
    </row>
    <row r="25" spans="2:45" s="42" customFormat="1" ht="17.25" x14ac:dyDescent="0.25">
      <c r="B25" s="42" t="s">
        <v>255</v>
      </c>
      <c r="C25" s="221" t="s">
        <v>331</v>
      </c>
      <c r="D25" s="225">
        <f>E24+E24*$D$12</f>
        <v>20.130922499999997</v>
      </c>
      <c r="E25" s="226"/>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row>
    <row r="26" spans="2:45" s="42" customFormat="1" ht="17.25" x14ac:dyDescent="0.25">
      <c r="C26" s="221" t="s">
        <v>332</v>
      </c>
      <c r="D26" s="226"/>
      <c r="E26" s="222">
        <f>AVERAGE(INDEX(F26:X26,(MATCH(TRUE,INDEX(ISNUMBER(F26:X26),0),0))),INDEX(F26:X26,(MATCH(TRUE,INDEX(ISNUMBER(F26:X26),0),0)+1)),INDEX(F26:X26,(MATCH(TRUE,INDEX(ISNUMBER(F26:X26),0),0)+2)),INDEX(F26:X26,(MATCH(TRUE,INDEX(ISNUMBER(F26:X26),0),0)+3)))</f>
        <v>17.727499999999999</v>
      </c>
      <c r="G26" s="223"/>
      <c r="H26" s="223"/>
      <c r="I26" s="223"/>
      <c r="J26" s="223"/>
      <c r="K26" s="223">
        <v>27.39</v>
      </c>
      <c r="L26" s="223">
        <v>17.61</v>
      </c>
      <c r="M26" s="223">
        <v>12.97</v>
      </c>
      <c r="N26" s="223">
        <v>12.94</v>
      </c>
      <c r="O26" s="223">
        <v>13.52</v>
      </c>
      <c r="P26" s="224">
        <v>11.97</v>
      </c>
      <c r="Q26" s="224">
        <v>11.73</v>
      </c>
      <c r="R26" s="224">
        <v>11.48</v>
      </c>
      <c r="S26" s="224">
        <v>12.52</v>
      </c>
      <c r="T26" s="224">
        <v>12.71</v>
      </c>
      <c r="U26" s="224">
        <v>12.67</v>
      </c>
      <c r="V26" s="224">
        <v>12.8</v>
      </c>
      <c r="W26" s="224">
        <v>13.04</v>
      </c>
      <c r="X26" s="224">
        <v>12.64</v>
      </c>
      <c r="Y26" s="224">
        <v>11.4</v>
      </c>
      <c r="Z26" s="224">
        <v>10.81</v>
      </c>
      <c r="AA26" s="224"/>
      <c r="AB26" s="224"/>
      <c r="AC26" s="224"/>
      <c r="AD26" s="224"/>
      <c r="AE26" s="224"/>
      <c r="AF26" s="224"/>
      <c r="AG26" s="224"/>
      <c r="AH26" s="224"/>
      <c r="AI26" s="224"/>
      <c r="AJ26" s="224"/>
      <c r="AK26" s="224"/>
      <c r="AL26" s="224"/>
      <c r="AM26" s="224"/>
      <c r="AN26" s="224"/>
      <c r="AO26" s="224"/>
      <c r="AP26" s="224"/>
      <c r="AQ26" s="224"/>
      <c r="AR26" s="224"/>
      <c r="AS26" s="224"/>
    </row>
    <row r="27" spans="2:45" s="42" customFormat="1" ht="17.25" x14ac:dyDescent="0.25">
      <c r="B27" s="42" t="s">
        <v>256</v>
      </c>
      <c r="C27" s="221" t="s">
        <v>333</v>
      </c>
      <c r="D27" s="225">
        <f>E26+E26*$D$12</f>
        <v>19.163427499999997</v>
      </c>
      <c r="E27" s="226"/>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row>
    <row r="28" spans="2:45" s="42" customFormat="1" ht="17.25" x14ac:dyDescent="0.25">
      <c r="C28" s="221" t="s">
        <v>334</v>
      </c>
      <c r="D28" s="226"/>
      <c r="E28" s="222">
        <f>AVERAGE(INDEX(F28:X28,(MATCH(TRUE,INDEX(ISNUMBER(F28:X28),0),0))),INDEX(F28:X28,(MATCH(TRUE,INDEX(ISNUMBER(F28:X28),0),0)+1)),INDEX(F28:X28,(MATCH(TRUE,INDEX(ISNUMBER(F28:X28),0),0)+2)),INDEX(F28:X28,(MATCH(TRUE,INDEX(ISNUMBER(F28:X28),0),0)+3)))</f>
        <v>17.225000000000001</v>
      </c>
      <c r="G28" s="223"/>
      <c r="H28" s="223"/>
      <c r="I28" s="223"/>
      <c r="J28" s="223"/>
      <c r="K28" s="223">
        <v>26.84</v>
      </c>
      <c r="L28" s="223">
        <v>17.09</v>
      </c>
      <c r="M28" s="223">
        <v>12.5</v>
      </c>
      <c r="N28" s="223">
        <v>12.47</v>
      </c>
      <c r="O28" s="223">
        <v>13.05</v>
      </c>
      <c r="P28" s="224">
        <v>11.72</v>
      </c>
      <c r="Q28" s="224">
        <v>11.67</v>
      </c>
      <c r="R28" s="224">
        <v>11.04</v>
      </c>
      <c r="S28" s="224">
        <v>12.02</v>
      </c>
      <c r="T28" s="224">
        <v>12.21</v>
      </c>
      <c r="U28" s="224">
        <v>12.3</v>
      </c>
      <c r="V28" s="224">
        <v>12.44</v>
      </c>
      <c r="W28" s="224">
        <v>12.69</v>
      </c>
      <c r="X28" s="224">
        <v>12.27</v>
      </c>
      <c r="Y28" s="224">
        <v>11.11</v>
      </c>
      <c r="Z28" s="224">
        <v>10.54</v>
      </c>
      <c r="AA28" s="224"/>
      <c r="AB28" s="224"/>
      <c r="AC28" s="224"/>
      <c r="AD28" s="224"/>
      <c r="AE28" s="224"/>
      <c r="AF28" s="224"/>
      <c r="AG28" s="224"/>
      <c r="AH28" s="224"/>
      <c r="AI28" s="224"/>
      <c r="AJ28" s="224"/>
      <c r="AK28" s="224"/>
      <c r="AL28" s="224"/>
      <c r="AM28" s="224"/>
      <c r="AN28" s="224"/>
      <c r="AO28" s="224"/>
      <c r="AP28" s="224"/>
      <c r="AQ28" s="224"/>
      <c r="AR28" s="224"/>
      <c r="AS28" s="224"/>
    </row>
    <row r="29" spans="2:45" s="42" customFormat="1" ht="17.25" x14ac:dyDescent="0.25">
      <c r="B29" s="42" t="s">
        <v>257</v>
      </c>
      <c r="C29" s="221" t="s">
        <v>335</v>
      </c>
      <c r="D29" s="225">
        <f>E28+E28*$D$12</f>
        <v>18.620225000000001</v>
      </c>
      <c r="E29" s="226"/>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row>
    <row r="30" spans="2:45" s="42" customFormat="1" x14ac:dyDescent="0.25">
      <c r="C30" s="221" t="s">
        <v>653</v>
      </c>
      <c r="D30" s="226"/>
      <c r="E30" s="222">
        <f>AVERAGE(INDEX(F30:X30,(MATCH(TRUE,INDEX(ISNUMBER(F30:X30),0),0))),INDEX(F30:X30,(MATCH(TRUE,INDEX(ISNUMBER(F30:X30),0),0)+1)),INDEX(F30:X30,(MATCH(TRUE,INDEX(ISNUMBER(F30:X30),0),0)+2)),INDEX(F30:X30,(MATCH(TRUE,INDEX(ISNUMBER(F30:X30),0),0)+3)))</f>
        <v>16.45</v>
      </c>
      <c r="G30" s="223"/>
      <c r="H30" s="223"/>
      <c r="I30" s="223"/>
      <c r="J30" s="223"/>
      <c r="K30" s="223">
        <v>26.02</v>
      </c>
      <c r="L30" s="223">
        <v>16.309999999999999</v>
      </c>
      <c r="M30" s="224">
        <v>11.75</v>
      </c>
      <c r="N30" s="224">
        <v>11.72</v>
      </c>
      <c r="O30" s="224">
        <v>12.3</v>
      </c>
      <c r="P30" s="224">
        <v>10.97</v>
      </c>
      <c r="Q30" s="224">
        <v>10.9</v>
      </c>
      <c r="R30" s="224">
        <v>10.31</v>
      </c>
      <c r="S30" s="224">
        <v>11.19</v>
      </c>
      <c r="T30" s="224">
        <v>11.36</v>
      </c>
      <c r="U30" s="224">
        <v>11.5</v>
      </c>
      <c r="V30" s="224">
        <v>11.65</v>
      </c>
      <c r="W30" s="224">
        <v>11.51</v>
      </c>
      <c r="X30" s="224">
        <v>11.24</v>
      </c>
      <c r="Y30" s="224">
        <v>9.91</v>
      </c>
      <c r="Z30" s="224">
        <v>9.48</v>
      </c>
      <c r="AA30" s="224"/>
      <c r="AB30" s="224"/>
      <c r="AC30" s="224"/>
      <c r="AD30" s="224"/>
      <c r="AE30" s="224"/>
      <c r="AF30" s="224"/>
      <c r="AG30" s="224"/>
      <c r="AH30" s="224"/>
      <c r="AI30" s="224"/>
      <c r="AJ30" s="224"/>
      <c r="AK30" s="224"/>
      <c r="AL30" s="224"/>
      <c r="AM30" s="224"/>
      <c r="AN30" s="224"/>
      <c r="AO30" s="224"/>
      <c r="AP30" s="224"/>
      <c r="AQ30" s="224"/>
      <c r="AR30" s="224"/>
      <c r="AS30" s="224"/>
    </row>
    <row r="31" spans="2:45" s="42" customFormat="1" x14ac:dyDescent="0.25">
      <c r="B31" s="42" t="s">
        <v>253</v>
      </c>
      <c r="C31" s="221" t="s">
        <v>654</v>
      </c>
      <c r="D31" s="225">
        <v>12.74091</v>
      </c>
      <c r="E31" s="226"/>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row>
    <row r="32" spans="2:45" s="42" customFormat="1" x14ac:dyDescent="0.25">
      <c r="C32" s="221" t="s">
        <v>655</v>
      </c>
      <c r="D32" s="226"/>
      <c r="E32" s="222">
        <f>AVERAGE(INDEX(F32:X32,(MATCH(TRUE,INDEX(ISNUMBER(F32:X32),0),0))),INDEX(F32:X32,(MATCH(TRUE,INDEX(ISNUMBER(F32:X32),0),0)+1)),INDEX(F32:X32,(MATCH(TRUE,INDEX(ISNUMBER(F32:X32),0),0)+2)),INDEX(F32:X32,(MATCH(TRUE,INDEX(ISNUMBER(F32:X32),0),0)+3)))</f>
        <v>25.82</v>
      </c>
      <c r="G32" s="223"/>
      <c r="H32" s="223"/>
      <c r="I32" s="223"/>
      <c r="J32" s="223"/>
      <c r="K32" s="223">
        <v>35.49</v>
      </c>
      <c r="L32" s="223">
        <v>25.78</v>
      </c>
      <c r="M32" s="224">
        <v>20.98</v>
      </c>
      <c r="N32" s="224">
        <v>21.03</v>
      </c>
      <c r="O32" s="224">
        <v>21.22</v>
      </c>
      <c r="P32" s="224">
        <v>20.74</v>
      </c>
      <c r="Q32" s="224">
        <v>20.89</v>
      </c>
      <c r="R32" s="224">
        <v>19.64</v>
      </c>
      <c r="S32" s="224">
        <v>19.45</v>
      </c>
      <c r="T32" s="224">
        <v>19.989999999999998</v>
      </c>
      <c r="U32" s="224">
        <v>18.420000000000002</v>
      </c>
      <c r="V32" s="224">
        <v>18.8</v>
      </c>
      <c r="W32" s="224">
        <v>19.059999999999999</v>
      </c>
      <c r="X32" s="224">
        <v>21.85</v>
      </c>
      <c r="Y32" s="224">
        <v>19.68</v>
      </c>
      <c r="Z32" s="224">
        <v>18.63</v>
      </c>
      <c r="AA32" s="224"/>
      <c r="AB32" s="224"/>
      <c r="AC32" s="224"/>
      <c r="AD32" s="224"/>
      <c r="AE32" s="224"/>
      <c r="AF32" s="224"/>
      <c r="AG32" s="224"/>
      <c r="AH32" s="224"/>
      <c r="AI32" s="224"/>
      <c r="AJ32" s="224"/>
      <c r="AK32" s="224"/>
      <c r="AL32" s="224"/>
      <c r="AM32" s="224"/>
      <c r="AN32" s="224"/>
      <c r="AO32" s="224"/>
      <c r="AP32" s="224"/>
      <c r="AQ32" s="224"/>
      <c r="AR32" s="224"/>
      <c r="AS32" s="224"/>
    </row>
    <row r="33" spans="2:45" s="42" customFormat="1" x14ac:dyDescent="0.25">
      <c r="B33" s="42" t="s">
        <v>267</v>
      </c>
      <c r="C33" s="221" t="s">
        <v>656</v>
      </c>
      <c r="D33" s="225">
        <v>23.028952499999995</v>
      </c>
      <c r="E33" s="226"/>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row>
    <row r="34" spans="2:45" s="42" customFormat="1" ht="17.25" x14ac:dyDescent="0.25">
      <c r="C34" s="221" t="s">
        <v>310</v>
      </c>
      <c r="D34" s="226"/>
      <c r="E34" s="222">
        <f t="shared" ref="E34:E46" si="2">AVERAGE(INDEX(F34:X34,(MATCH(TRUE,INDEX(ISNUMBER(F34:X34),0),0))),INDEX(F34:X34,(MATCH(TRUE,INDEX(ISNUMBER(F34:X34),0),0)+1)),INDEX(F34:X34,(MATCH(TRUE,INDEX(ISNUMBER(F34:X34),0),0)+2)),INDEX(F34:X34,(MATCH(TRUE,INDEX(ISNUMBER(F34:X34),0),0)+3)))</f>
        <v>23.6</v>
      </c>
      <c r="G34" s="223"/>
      <c r="H34" s="223"/>
      <c r="I34" s="223"/>
      <c r="J34" s="223"/>
      <c r="K34" s="223">
        <v>33.31</v>
      </c>
      <c r="L34" s="223">
        <v>23.56</v>
      </c>
      <c r="M34" s="223">
        <v>18.75</v>
      </c>
      <c r="N34" s="223">
        <v>18.78</v>
      </c>
      <c r="O34" s="223">
        <v>19.690000000000001</v>
      </c>
      <c r="P34" s="224">
        <v>18.57</v>
      </c>
      <c r="Q34" s="224">
        <v>18.649999999999999</v>
      </c>
      <c r="R34" s="224">
        <v>17.510000000000002</v>
      </c>
      <c r="S34" s="224">
        <v>17.809999999999999</v>
      </c>
      <c r="T34" s="224">
        <v>18.2</v>
      </c>
      <c r="U34" s="224">
        <v>17.02</v>
      </c>
      <c r="V34" s="224">
        <v>17.39</v>
      </c>
      <c r="W34" s="224">
        <v>17.64</v>
      </c>
      <c r="X34" s="224">
        <v>19.16</v>
      </c>
      <c r="Y34" s="224">
        <v>17.079999999999998</v>
      </c>
      <c r="Z34" s="224">
        <v>16.170000000000002</v>
      </c>
      <c r="AA34" s="224"/>
      <c r="AB34" s="224"/>
      <c r="AC34" s="224"/>
      <c r="AD34" s="224"/>
      <c r="AE34" s="224"/>
      <c r="AF34" s="224"/>
      <c r="AG34" s="224"/>
      <c r="AH34" s="224"/>
      <c r="AI34" s="224"/>
      <c r="AJ34" s="224"/>
      <c r="AK34" s="224"/>
      <c r="AL34" s="224"/>
      <c r="AM34" s="224"/>
      <c r="AN34" s="224"/>
      <c r="AO34" s="224"/>
      <c r="AP34" s="224"/>
      <c r="AQ34" s="224"/>
      <c r="AR34" s="224"/>
      <c r="AS34" s="224"/>
    </row>
    <row r="35" spans="2:45" s="42" customFormat="1" ht="17.25" x14ac:dyDescent="0.25">
      <c r="B35" s="42" t="s">
        <v>268</v>
      </c>
      <c r="C35" s="221" t="s">
        <v>311</v>
      </c>
      <c r="D35" s="225">
        <f>E34+E34*$D$12</f>
        <v>25.511600000000001</v>
      </c>
      <c r="E35" s="226"/>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row>
    <row r="36" spans="2:45" s="42" customFormat="1" ht="17.25" x14ac:dyDescent="0.25">
      <c r="C36" s="221" t="s">
        <v>312</v>
      </c>
      <c r="D36" s="226"/>
      <c r="E36" s="222">
        <f t="shared" si="2"/>
        <v>21.13</v>
      </c>
      <c r="G36" s="223"/>
      <c r="H36" s="223"/>
      <c r="I36" s="223"/>
      <c r="J36" s="223"/>
      <c r="K36" s="223">
        <v>31.31</v>
      </c>
      <c r="L36" s="223">
        <v>21.07</v>
      </c>
      <c r="M36" s="223">
        <v>16.14</v>
      </c>
      <c r="N36" s="223">
        <v>16</v>
      </c>
      <c r="O36" s="223">
        <v>16.72</v>
      </c>
      <c r="P36" s="224">
        <v>16.05</v>
      </c>
      <c r="Q36" s="224">
        <v>15.55</v>
      </c>
      <c r="R36" s="224">
        <v>14.87</v>
      </c>
      <c r="S36" s="224">
        <v>15.03</v>
      </c>
      <c r="T36" s="224">
        <v>15.43</v>
      </c>
      <c r="U36" s="224">
        <v>14.35</v>
      </c>
      <c r="V36" s="224">
        <v>14.55</v>
      </c>
      <c r="W36" s="224">
        <v>14.63</v>
      </c>
      <c r="X36" s="224">
        <v>15.28</v>
      </c>
      <c r="Y36" s="224">
        <v>13.19</v>
      </c>
      <c r="Z36" s="224">
        <v>12.5</v>
      </c>
      <c r="AA36" s="224"/>
      <c r="AB36" s="224"/>
      <c r="AC36" s="224"/>
      <c r="AD36" s="224"/>
      <c r="AE36" s="224"/>
      <c r="AF36" s="224"/>
      <c r="AG36" s="224"/>
      <c r="AH36" s="224"/>
      <c r="AI36" s="224"/>
      <c r="AJ36" s="224"/>
      <c r="AK36" s="224"/>
      <c r="AL36" s="224"/>
      <c r="AM36" s="224"/>
      <c r="AN36" s="224"/>
      <c r="AO36" s="224"/>
      <c r="AP36" s="224"/>
      <c r="AQ36" s="224"/>
      <c r="AR36" s="224"/>
      <c r="AS36" s="224"/>
    </row>
    <row r="37" spans="2:45" s="42" customFormat="1" ht="17.25" x14ac:dyDescent="0.25">
      <c r="B37" s="42" t="s">
        <v>269</v>
      </c>
      <c r="C37" s="221" t="s">
        <v>313</v>
      </c>
      <c r="D37" s="225">
        <f>E36+E36*$D$12</f>
        <v>22.841529999999999</v>
      </c>
      <c r="E37" s="226"/>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row>
    <row r="38" spans="2:45" s="42" customFormat="1" ht="17.25" x14ac:dyDescent="0.25">
      <c r="C38" s="221" t="s">
        <v>314</v>
      </c>
      <c r="D38" s="226"/>
      <c r="E38" s="222">
        <f t="shared" si="2"/>
        <v>21.922499999999999</v>
      </c>
      <c r="G38" s="223"/>
      <c r="H38" s="223"/>
      <c r="I38" s="223"/>
      <c r="J38" s="223"/>
      <c r="K38" s="223">
        <v>31.61</v>
      </c>
      <c r="L38" s="223">
        <v>21.88</v>
      </c>
      <c r="M38" s="223">
        <v>17.079999999999998</v>
      </c>
      <c r="N38" s="223">
        <v>17.12</v>
      </c>
      <c r="O38" s="223">
        <v>17.940000000000001</v>
      </c>
      <c r="P38" s="224">
        <v>16.87</v>
      </c>
      <c r="Q38" s="224">
        <v>16.82</v>
      </c>
      <c r="R38" s="224">
        <v>16.12</v>
      </c>
      <c r="S38" s="224">
        <v>16.439999999999998</v>
      </c>
      <c r="T38" s="224">
        <v>17.010000000000002</v>
      </c>
      <c r="U38" s="224">
        <v>16.11</v>
      </c>
      <c r="V38" s="224">
        <v>16.47</v>
      </c>
      <c r="W38" s="224">
        <v>16.72</v>
      </c>
      <c r="X38" s="224">
        <v>17.22</v>
      </c>
      <c r="Y38" s="224">
        <v>15.25</v>
      </c>
      <c r="Z38" s="224">
        <v>14.45</v>
      </c>
      <c r="AA38" s="224"/>
      <c r="AB38" s="224"/>
      <c r="AC38" s="224"/>
      <c r="AD38" s="224"/>
      <c r="AE38" s="224"/>
      <c r="AF38" s="224"/>
      <c r="AG38" s="224"/>
      <c r="AH38" s="224"/>
      <c r="AI38" s="224"/>
      <c r="AJ38" s="224"/>
      <c r="AK38" s="224"/>
      <c r="AL38" s="224"/>
      <c r="AM38" s="224"/>
      <c r="AN38" s="224"/>
      <c r="AO38" s="224"/>
      <c r="AP38" s="224"/>
      <c r="AQ38" s="224"/>
      <c r="AR38" s="224"/>
      <c r="AS38" s="224"/>
    </row>
    <row r="39" spans="2:45" s="42" customFormat="1" ht="17.25" x14ac:dyDescent="0.25">
      <c r="B39" s="42" t="s">
        <v>270</v>
      </c>
      <c r="C39" s="221" t="s">
        <v>315</v>
      </c>
      <c r="D39" s="225">
        <f>E38+E38*$D$12</f>
        <v>23.6982225</v>
      </c>
      <c r="E39" s="226"/>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row>
    <row r="40" spans="2:45" s="42" customFormat="1" ht="17.25" x14ac:dyDescent="0.25">
      <c r="C40" s="221" t="s">
        <v>316</v>
      </c>
      <c r="D40" s="226"/>
      <c r="E40" s="222">
        <f t="shared" si="2"/>
        <v>20.382499999999997</v>
      </c>
      <c r="G40" s="223"/>
      <c r="H40" s="223"/>
      <c r="I40" s="223"/>
      <c r="J40" s="223"/>
      <c r="K40" s="223">
        <v>30.49</v>
      </c>
      <c r="L40" s="223">
        <v>20.329999999999998</v>
      </c>
      <c r="M40" s="223">
        <v>15.41</v>
      </c>
      <c r="N40" s="223">
        <v>15.3</v>
      </c>
      <c r="O40" s="223">
        <v>15.76</v>
      </c>
      <c r="P40" s="224">
        <v>15.17</v>
      </c>
      <c r="Q40" s="224">
        <v>14.88</v>
      </c>
      <c r="R40" s="224">
        <v>14.21</v>
      </c>
      <c r="S40" s="224">
        <v>14.430000000000001</v>
      </c>
      <c r="T40" s="224">
        <v>14.87</v>
      </c>
      <c r="U40" s="224">
        <v>14.09</v>
      </c>
      <c r="V40" s="224">
        <v>14.31</v>
      </c>
      <c r="W40" s="224">
        <v>14.41</v>
      </c>
      <c r="X40" s="224">
        <v>14.57</v>
      </c>
      <c r="Y40" s="224">
        <v>12.51</v>
      </c>
      <c r="Z40" s="224">
        <v>11.86</v>
      </c>
      <c r="AA40" s="224"/>
      <c r="AB40" s="224"/>
      <c r="AC40" s="224"/>
      <c r="AD40" s="224"/>
      <c r="AE40" s="224"/>
      <c r="AF40" s="224"/>
      <c r="AG40" s="224"/>
      <c r="AH40" s="224"/>
      <c r="AI40" s="224"/>
      <c r="AJ40" s="224"/>
      <c r="AK40" s="224"/>
      <c r="AL40" s="224"/>
      <c r="AM40" s="224"/>
      <c r="AN40" s="224"/>
      <c r="AO40" s="224"/>
      <c r="AP40" s="224"/>
      <c r="AQ40" s="224"/>
      <c r="AR40" s="224"/>
      <c r="AS40" s="224"/>
    </row>
    <row r="41" spans="2:45" s="42" customFormat="1" ht="17.25" x14ac:dyDescent="0.25">
      <c r="B41" s="42" t="s">
        <v>271</v>
      </c>
      <c r="C41" s="221" t="s">
        <v>317</v>
      </c>
      <c r="D41" s="225">
        <f>E40+E40*$D$12</f>
        <v>22.033482499999998</v>
      </c>
      <c r="E41" s="226"/>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row>
    <row r="42" spans="2:45" s="42" customFormat="1" ht="17.25" x14ac:dyDescent="0.25">
      <c r="C42" s="221" t="s">
        <v>318</v>
      </c>
      <c r="D42" s="226"/>
      <c r="E42" s="222">
        <f t="shared" si="2"/>
        <v>18.745000000000001</v>
      </c>
      <c r="G42" s="223"/>
      <c r="H42" s="223"/>
      <c r="I42" s="223"/>
      <c r="J42" s="223"/>
      <c r="K42" s="223">
        <v>29.32</v>
      </c>
      <c r="L42" s="223">
        <v>18.68</v>
      </c>
      <c r="M42" s="223">
        <v>13.63</v>
      </c>
      <c r="N42" s="223">
        <v>13.35</v>
      </c>
      <c r="O42" s="223">
        <v>13.96</v>
      </c>
      <c r="P42" s="224">
        <v>13</v>
      </c>
      <c r="Q42" s="224">
        <v>12.6</v>
      </c>
      <c r="R42" s="224">
        <v>11.76</v>
      </c>
      <c r="S42" s="224">
        <v>12.15</v>
      </c>
      <c r="T42" s="224">
        <v>12.47</v>
      </c>
      <c r="U42" s="224">
        <v>11.940000000000001</v>
      </c>
      <c r="V42" s="224">
        <v>11.99</v>
      </c>
      <c r="W42" s="224">
        <v>11.94</v>
      </c>
      <c r="X42" s="224">
        <v>11.53</v>
      </c>
      <c r="Y42" s="224">
        <v>9.48</v>
      </c>
      <c r="Z42" s="224">
        <v>9</v>
      </c>
      <c r="AA42" s="224"/>
      <c r="AB42" s="224"/>
      <c r="AC42" s="224"/>
      <c r="AD42" s="224"/>
      <c r="AE42" s="224"/>
      <c r="AF42" s="224"/>
      <c r="AG42" s="224"/>
      <c r="AH42" s="224"/>
      <c r="AI42" s="224"/>
      <c r="AJ42" s="224"/>
      <c r="AK42" s="224"/>
      <c r="AL42" s="224"/>
      <c r="AM42" s="224"/>
      <c r="AN42" s="224"/>
      <c r="AO42" s="224"/>
      <c r="AP42" s="224"/>
      <c r="AQ42" s="224"/>
      <c r="AR42" s="224"/>
      <c r="AS42" s="224"/>
    </row>
    <row r="43" spans="2:45" s="42" customFormat="1" ht="17.25" x14ac:dyDescent="0.25">
      <c r="B43" s="42" t="s">
        <v>251</v>
      </c>
      <c r="C43" s="221" t="s">
        <v>319</v>
      </c>
      <c r="D43" s="225">
        <f>E42+E42*$D$12</f>
        <v>20.263345000000001</v>
      </c>
      <c r="E43" s="226"/>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row>
    <row r="44" spans="2:45" s="42" customFormat="1" ht="17.25" x14ac:dyDescent="0.25">
      <c r="C44" s="221" t="s">
        <v>320</v>
      </c>
      <c r="D44" s="226"/>
      <c r="E44" s="222">
        <f t="shared" si="2"/>
        <v>20.027500000000003</v>
      </c>
      <c r="G44" s="223"/>
      <c r="H44" s="223"/>
      <c r="I44" s="223"/>
      <c r="J44" s="223"/>
      <c r="K44" s="223">
        <v>29.84</v>
      </c>
      <c r="L44" s="223">
        <v>20.03</v>
      </c>
      <c r="M44" s="223">
        <v>15.15</v>
      </c>
      <c r="N44" s="223">
        <v>15.09</v>
      </c>
      <c r="O44" s="223">
        <v>15.39</v>
      </c>
      <c r="P44" s="224">
        <v>14.73</v>
      </c>
      <c r="Q44" s="224">
        <v>14.56</v>
      </c>
      <c r="R44" s="224">
        <v>14.19</v>
      </c>
      <c r="S44" s="224">
        <v>14.19</v>
      </c>
      <c r="T44" s="224">
        <v>14.67</v>
      </c>
      <c r="U44" s="224">
        <v>14.11</v>
      </c>
      <c r="V44" s="224">
        <v>13.98</v>
      </c>
      <c r="W44" s="224">
        <v>13.9</v>
      </c>
      <c r="X44" s="224">
        <v>13.9</v>
      </c>
      <c r="Y44" s="224">
        <v>11.89</v>
      </c>
      <c r="Z44" s="224">
        <v>11.28</v>
      </c>
      <c r="AA44" s="224"/>
      <c r="AB44" s="224"/>
      <c r="AC44" s="224"/>
      <c r="AD44" s="224"/>
      <c r="AE44" s="224"/>
      <c r="AF44" s="224"/>
      <c r="AG44" s="224"/>
      <c r="AH44" s="224"/>
      <c r="AI44" s="224"/>
      <c r="AJ44" s="224"/>
      <c r="AK44" s="224"/>
      <c r="AL44" s="224"/>
      <c r="AM44" s="224"/>
      <c r="AN44" s="224"/>
      <c r="AO44" s="224"/>
      <c r="AP44" s="224"/>
      <c r="AQ44" s="224"/>
      <c r="AR44" s="224"/>
      <c r="AS44" s="224"/>
    </row>
    <row r="45" spans="2:45" s="42" customFormat="1" ht="17.25" x14ac:dyDescent="0.25">
      <c r="B45" s="42" t="s">
        <v>252</v>
      </c>
      <c r="C45" s="221" t="s">
        <v>321</v>
      </c>
      <c r="D45" s="225">
        <f>E44+E44*$D$12</f>
        <v>21.649727500000004</v>
      </c>
      <c r="E45" s="226"/>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row>
    <row r="46" spans="2:45" s="42" customFormat="1" ht="17.25" x14ac:dyDescent="0.25">
      <c r="C46" s="221" t="s">
        <v>322</v>
      </c>
      <c r="D46" s="226"/>
      <c r="E46" s="222">
        <f t="shared" si="2"/>
        <v>21.07</v>
      </c>
      <c r="G46" s="223"/>
      <c r="H46" s="223"/>
      <c r="I46" s="223"/>
      <c r="J46" s="223"/>
      <c r="K46" s="223">
        <v>30.76</v>
      </c>
      <c r="L46" s="223">
        <v>21.02</v>
      </c>
      <c r="M46" s="223">
        <v>16.23</v>
      </c>
      <c r="N46" s="223">
        <v>16.27</v>
      </c>
      <c r="O46" s="223">
        <v>16.98</v>
      </c>
      <c r="P46" s="224">
        <v>16.02</v>
      </c>
      <c r="Q46" s="224">
        <v>15.88</v>
      </c>
      <c r="R46" s="224">
        <v>15.48</v>
      </c>
      <c r="S46" s="224">
        <v>15.85</v>
      </c>
      <c r="T46" s="224">
        <v>16.23</v>
      </c>
      <c r="U46" s="224">
        <v>16.02</v>
      </c>
      <c r="V46" s="224">
        <v>15.98</v>
      </c>
      <c r="W46" s="224">
        <v>16.22</v>
      </c>
      <c r="X46" s="224">
        <v>16.16</v>
      </c>
      <c r="Y46" s="224">
        <v>14.29</v>
      </c>
      <c r="Z46" s="224">
        <v>13.55</v>
      </c>
      <c r="AA46" s="224"/>
      <c r="AB46" s="224"/>
      <c r="AC46" s="224"/>
      <c r="AD46" s="224"/>
      <c r="AE46" s="224"/>
      <c r="AF46" s="224"/>
      <c r="AG46" s="224"/>
      <c r="AH46" s="224"/>
      <c r="AI46" s="224"/>
      <c r="AJ46" s="224"/>
      <c r="AK46" s="224"/>
      <c r="AL46" s="224"/>
      <c r="AM46" s="224"/>
      <c r="AN46" s="224"/>
      <c r="AO46" s="224"/>
      <c r="AP46" s="224"/>
      <c r="AQ46" s="224"/>
      <c r="AR46" s="224"/>
      <c r="AS46" s="224"/>
    </row>
    <row r="47" spans="2:45" s="66" customFormat="1" ht="18" thickBot="1" x14ac:dyDescent="0.3">
      <c r="B47" s="66" t="s">
        <v>272</v>
      </c>
      <c r="C47" s="227" t="s">
        <v>323</v>
      </c>
      <c r="D47" s="228">
        <f>E46+E46*$D$12</f>
        <v>22.776669999999999</v>
      </c>
      <c r="E47" s="227"/>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row>
    <row r="48" spans="2:45" s="42" customFormat="1" ht="45" x14ac:dyDescent="0.25">
      <c r="C48" s="221"/>
      <c r="D48" s="15" t="s">
        <v>275</v>
      </c>
      <c r="E48" s="15" t="s">
        <v>106</v>
      </c>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row>
    <row r="49" spans="3:45" s="45" customFormat="1" ht="17.25" x14ac:dyDescent="0.25">
      <c r="C49" s="230" t="s">
        <v>336</v>
      </c>
      <c r="D49" s="230"/>
      <c r="G49" s="231"/>
      <c r="H49" s="231"/>
      <c r="I49" s="231"/>
      <c r="J49" s="231"/>
      <c r="K49" s="231"/>
      <c r="L49" s="232">
        <v>3234.79</v>
      </c>
      <c r="M49" s="232">
        <v>3229.21</v>
      </c>
      <c r="N49" s="232">
        <v>2088.4416666666666</v>
      </c>
      <c r="O49" s="232">
        <v>2090.8391666666698</v>
      </c>
      <c r="P49" s="233">
        <v>2135.9791666666665</v>
      </c>
      <c r="Q49" s="233">
        <v>2158.5508333333332</v>
      </c>
      <c r="R49" s="233">
        <v>2157.04</v>
      </c>
      <c r="S49" s="233">
        <v>2179.87</v>
      </c>
      <c r="T49" s="233">
        <v>2286.5100000000002</v>
      </c>
      <c r="U49" s="233">
        <v>2422.46</v>
      </c>
      <c r="V49" s="233">
        <v>2386.98</v>
      </c>
      <c r="W49" s="233">
        <v>2224.11</v>
      </c>
      <c r="X49" s="233">
        <v>2344.2800000000002</v>
      </c>
      <c r="Y49" s="233">
        <v>2378.35</v>
      </c>
      <c r="Z49" s="233">
        <v>2309</v>
      </c>
      <c r="AA49" s="233">
        <v>2180.81</v>
      </c>
      <c r="AB49" s="233">
        <v>2315.3200000000002</v>
      </c>
      <c r="AC49" s="233">
        <v>2047.9</v>
      </c>
      <c r="AD49" s="21"/>
      <c r="AE49" s="21"/>
      <c r="AF49" s="21"/>
      <c r="AG49" s="21"/>
      <c r="AH49" s="21"/>
      <c r="AI49" s="21"/>
      <c r="AJ49" s="21"/>
      <c r="AK49" s="21"/>
      <c r="AL49" s="21"/>
      <c r="AM49" s="21"/>
      <c r="AN49" s="21"/>
      <c r="AO49" s="21"/>
      <c r="AP49" s="21"/>
      <c r="AQ49" s="21"/>
      <c r="AR49" s="21"/>
      <c r="AS49" s="21"/>
    </row>
    <row r="50" spans="3:45" s="45" customFormat="1" ht="17.25" x14ac:dyDescent="0.25">
      <c r="C50" s="230" t="s">
        <v>337</v>
      </c>
      <c r="D50" s="230"/>
      <c r="E50" s="234"/>
      <c r="G50" s="235" t="str">
        <f>IF(G49="","",G49/6000/4.8*100)</f>
        <v/>
      </c>
      <c r="H50" s="235" t="str">
        <f t="shared" ref="H50:P50" si="3">IF(H49="","",H49/6000/4.8*100)</f>
        <v/>
      </c>
      <c r="I50" s="235" t="str">
        <f t="shared" si="3"/>
        <v/>
      </c>
      <c r="J50" s="235" t="str">
        <f t="shared" si="3"/>
        <v/>
      </c>
      <c r="K50" s="235" t="str">
        <f t="shared" si="3"/>
        <v/>
      </c>
      <c r="L50" s="308">
        <f t="shared" si="3"/>
        <v>11.231909722222223</v>
      </c>
      <c r="M50" s="308">
        <f t="shared" si="3"/>
        <v>11.212534722222223</v>
      </c>
      <c r="N50" s="235">
        <f t="shared" si="3"/>
        <v>7.2515335648148156</v>
      </c>
      <c r="O50" s="235">
        <f t="shared" si="3"/>
        <v>7.259858217592603</v>
      </c>
      <c r="P50" s="235">
        <f t="shared" si="3"/>
        <v>7.4165943287037033</v>
      </c>
      <c r="Q50" s="235">
        <f t="shared" ref="Q50:AC50" si="4">Q49/6000/4.8*100</f>
        <v>7.4949681712962954</v>
      </c>
      <c r="R50" s="235">
        <f t="shared" si="4"/>
        <v>7.4897222222222224</v>
      </c>
      <c r="S50" s="235">
        <f t="shared" si="4"/>
        <v>7.5689930555555547</v>
      </c>
      <c r="T50" s="235">
        <f t="shared" si="4"/>
        <v>7.9392708333333353</v>
      </c>
      <c r="U50" s="235">
        <f t="shared" si="4"/>
        <v>8.4113194444444463</v>
      </c>
      <c r="V50" s="235">
        <f t="shared" si="4"/>
        <v>8.2881250000000009</v>
      </c>
      <c r="W50" s="235">
        <f t="shared" si="4"/>
        <v>7.7226041666666676</v>
      </c>
      <c r="X50" s="235">
        <f t="shared" si="4"/>
        <v>8.1398611111111112</v>
      </c>
      <c r="Y50" s="235">
        <f t="shared" si="4"/>
        <v>8.2581597222222225</v>
      </c>
      <c r="Z50" s="235">
        <f t="shared" si="4"/>
        <v>8.0173611111111125</v>
      </c>
      <c r="AA50" s="235">
        <f t="shared" si="4"/>
        <v>7.5722569444444439</v>
      </c>
      <c r="AB50" s="235">
        <f t="shared" si="4"/>
        <v>8.0393055555555559</v>
      </c>
      <c r="AC50" s="235">
        <f t="shared" si="4"/>
        <v>7.1107638888888891</v>
      </c>
      <c r="AD50" s="21"/>
      <c r="AE50" s="21"/>
      <c r="AF50" s="21"/>
      <c r="AG50" s="21"/>
      <c r="AH50" s="21"/>
      <c r="AI50" s="21"/>
      <c r="AJ50" s="21"/>
      <c r="AK50" s="21"/>
      <c r="AL50" s="21"/>
      <c r="AM50" s="21"/>
      <c r="AN50" s="21"/>
      <c r="AO50" s="21"/>
      <c r="AP50" s="21"/>
      <c r="AQ50" s="21"/>
      <c r="AR50" s="21"/>
      <c r="AS50" s="21"/>
    </row>
    <row r="51" spans="3:45" s="45" customFormat="1" x14ac:dyDescent="0.25">
      <c r="C51" s="230" t="s">
        <v>276</v>
      </c>
      <c r="D51" s="230"/>
      <c r="E51" s="236">
        <f>AVERAGE(INDEX(F51:X51,(MATCH(TRUE,INDEX(ISNUMBER(F51:X51),0),0))),INDEX(F51:X51,(MATCH(TRUE,INDEX(ISNUMBER(F51:X51),0),0)+1)),INDEX(F51:X51,(MATCH(TRUE,INDEX(ISNUMBER(F51:X51),0),0)+2)),INDEX(F51:X51,(MATCH(TRUE,INDEX(ISNUMBER(F51:X51),0),0)+3)))</f>
        <v>8.5784206654716488</v>
      </c>
      <c r="G51" s="235" t="str">
        <f t="shared" ref="G51:P51" si="5">IF(G50="","",G50/(1+G12))</f>
        <v/>
      </c>
      <c r="H51" s="235" t="str">
        <f t="shared" si="5"/>
        <v/>
      </c>
      <c r="I51" s="235" t="str">
        <f t="shared" si="5"/>
        <v/>
      </c>
      <c r="J51" s="235" t="str">
        <f t="shared" si="5"/>
        <v/>
      </c>
      <c r="K51" s="235" t="str">
        <f t="shared" si="5"/>
        <v/>
      </c>
      <c r="L51" s="308">
        <f t="shared" si="5"/>
        <v>10.428885535953782</v>
      </c>
      <c r="M51" s="308">
        <f t="shared" si="5"/>
        <v>10.410895749509956</v>
      </c>
      <c r="N51" s="235">
        <f t="shared" si="5"/>
        <v>6.7330859469032642</v>
      </c>
      <c r="O51" s="235">
        <f t="shared" si="5"/>
        <v>6.7408154295195946</v>
      </c>
      <c r="P51" s="235">
        <f t="shared" si="5"/>
        <v>6.8863457091027884</v>
      </c>
      <c r="Q51" s="235">
        <f t="shared" ref="Q51:AC51" si="6">Q50/(1+Q12)</f>
        <v>6.9591162221878324</v>
      </c>
      <c r="R51" s="235">
        <f t="shared" si="6"/>
        <v>6.9349279835390947</v>
      </c>
      <c r="S51" s="235">
        <f t="shared" si="6"/>
        <v>7.00832690329218</v>
      </c>
      <c r="T51" s="235">
        <f t="shared" si="6"/>
        <v>7.3511766975308657</v>
      </c>
      <c r="U51" s="235">
        <f t="shared" si="6"/>
        <v>7.7882587448559679</v>
      </c>
      <c r="V51" s="235">
        <f t="shared" si="6"/>
        <v>7.6741898148148149</v>
      </c>
      <c r="W51" s="235">
        <f t="shared" si="6"/>
        <v>7.1505594135802477</v>
      </c>
      <c r="X51" s="235">
        <f t="shared" si="6"/>
        <v>7.5369084362139915</v>
      </c>
      <c r="Y51" s="235">
        <f t="shared" si="6"/>
        <v>7.6748696303180504</v>
      </c>
      <c r="Z51" s="235">
        <f t="shared" si="6"/>
        <v>7.4510790995456428</v>
      </c>
      <c r="AA51" s="235">
        <f t="shared" si="6"/>
        <v>7.0374135171416761</v>
      </c>
      <c r="AB51" s="235">
        <f t="shared" si="6"/>
        <v>7.4714735646427091</v>
      </c>
      <c r="AC51" s="235">
        <f t="shared" si="6"/>
        <v>6.6085166253614203</v>
      </c>
      <c r="AD51" s="21"/>
      <c r="AE51" s="21"/>
      <c r="AF51" s="21"/>
      <c r="AG51" s="21"/>
      <c r="AH51" s="21"/>
      <c r="AI51" s="21"/>
      <c r="AJ51" s="21"/>
      <c r="AK51" s="21"/>
      <c r="AL51" s="21"/>
      <c r="AM51" s="21"/>
      <c r="AN51" s="21"/>
      <c r="AO51" s="21"/>
      <c r="AP51" s="21"/>
      <c r="AQ51" s="21"/>
      <c r="AR51" s="21"/>
      <c r="AS51" s="21"/>
    </row>
    <row r="52" spans="3:45" s="68" customFormat="1" ht="15.75" thickBot="1" x14ac:dyDescent="0.3">
      <c r="C52" s="237" t="s">
        <v>277</v>
      </c>
      <c r="D52" s="238">
        <f>E51+E51*MWST</f>
        <v>9.2732727393748533</v>
      </c>
      <c r="E52" s="239"/>
      <c r="G52" s="240"/>
      <c r="H52" s="240"/>
      <c r="I52" s="240"/>
      <c r="J52" s="240"/>
      <c r="K52" s="240"/>
      <c r="L52" s="240"/>
      <c r="M52" s="240"/>
      <c r="N52" s="240"/>
      <c r="O52" s="240"/>
      <c r="P52" s="241"/>
      <c r="Q52" s="241"/>
      <c r="R52" s="241"/>
      <c r="S52" s="241"/>
      <c r="T52" s="241"/>
      <c r="U52" s="241"/>
      <c r="V52" s="241"/>
      <c r="W52" s="241"/>
      <c r="X52" s="241"/>
      <c r="Y52" s="241"/>
      <c r="Z52" s="241"/>
      <c r="AA52" s="241"/>
      <c r="AB52" s="241"/>
      <c r="AC52" s="241"/>
      <c r="AD52" s="67"/>
      <c r="AE52" s="67"/>
      <c r="AF52" s="67"/>
      <c r="AG52" s="67"/>
      <c r="AH52" s="67"/>
      <c r="AI52" s="67"/>
      <c r="AJ52" s="67"/>
      <c r="AK52" s="67"/>
      <c r="AL52" s="67"/>
      <c r="AM52" s="67"/>
      <c r="AN52" s="67"/>
      <c r="AO52" s="67"/>
      <c r="AP52" s="67"/>
      <c r="AQ52" s="67"/>
      <c r="AR52" s="67"/>
      <c r="AS52" s="67"/>
    </row>
    <row r="53" spans="3:45" s="45" customFormat="1" ht="45" x14ac:dyDescent="0.25">
      <c r="C53" s="230"/>
      <c r="D53" s="15" t="s">
        <v>275</v>
      </c>
      <c r="E53" s="15" t="s">
        <v>106</v>
      </c>
      <c r="G53" s="231"/>
      <c r="H53" s="231"/>
      <c r="I53" s="231"/>
      <c r="J53" s="231"/>
      <c r="K53" s="231"/>
      <c r="L53" s="231"/>
      <c r="M53" s="231"/>
      <c r="N53" s="231"/>
      <c r="O53" s="231"/>
      <c r="P53" s="235"/>
      <c r="Q53" s="235"/>
      <c r="R53" s="235"/>
      <c r="S53" s="235"/>
      <c r="T53" s="235"/>
      <c r="U53" s="235"/>
      <c r="V53" s="235"/>
      <c r="W53" s="235"/>
      <c r="X53" s="235"/>
      <c r="Y53" s="235"/>
      <c r="Z53" s="235"/>
      <c r="AA53" s="235"/>
      <c r="AB53" s="235"/>
      <c r="AC53" s="235"/>
      <c r="AD53" s="21"/>
      <c r="AE53" s="21"/>
      <c r="AF53" s="21"/>
      <c r="AG53" s="21"/>
      <c r="AH53" s="21"/>
      <c r="AI53" s="21"/>
      <c r="AJ53" s="21"/>
      <c r="AK53" s="21"/>
      <c r="AL53" s="21"/>
      <c r="AM53" s="21"/>
      <c r="AN53" s="21"/>
      <c r="AO53" s="21"/>
      <c r="AP53" s="21"/>
      <c r="AQ53" s="21"/>
      <c r="AR53" s="21"/>
      <c r="AS53" s="21"/>
    </row>
    <row r="54" spans="3:45" s="72" customFormat="1" ht="17.25" hidden="1" x14ac:dyDescent="0.25">
      <c r="C54" s="242" t="s">
        <v>367</v>
      </c>
      <c r="D54" s="243"/>
      <c r="E54" s="244">
        <f>AVERAGE(INDEX(F54:X54,(MATCH(TRUE,INDEX(ISNUMBER(F54:X54),0),0))),INDEX(F54:X54,(MATCH(TRUE,INDEX(ISNUMBER(F54:X54),0),0)+1)),INDEX(F54:X54,(MATCH(TRUE,INDEX(ISNUMBER(F54:X54),0),0)+2)),INDEX(F54:X54,(MATCH(TRUE,INDEX(ISNUMBER(F54:X54),0),0)+3)))</f>
        <v>6</v>
      </c>
      <c r="G54" s="245"/>
      <c r="H54" s="245"/>
      <c r="I54" s="245"/>
      <c r="J54" s="245"/>
      <c r="K54" s="245"/>
      <c r="L54" s="245"/>
      <c r="M54" s="245"/>
      <c r="N54" s="245"/>
      <c r="O54" s="245"/>
      <c r="P54" s="246">
        <v>6</v>
      </c>
      <c r="Q54" s="246"/>
      <c r="R54" s="246"/>
      <c r="S54" s="246"/>
      <c r="T54" s="246"/>
      <c r="U54" s="246"/>
      <c r="V54" s="246"/>
      <c r="W54" s="246"/>
      <c r="X54" s="246"/>
      <c r="Y54" s="246"/>
      <c r="Z54" s="246"/>
      <c r="AA54" s="246"/>
      <c r="AB54" s="246"/>
      <c r="AC54" s="246"/>
      <c r="AD54" s="247"/>
      <c r="AE54" s="247"/>
      <c r="AF54" s="247"/>
      <c r="AG54" s="247"/>
      <c r="AH54" s="247"/>
      <c r="AI54" s="247"/>
      <c r="AJ54" s="247"/>
      <c r="AK54" s="247"/>
      <c r="AL54" s="247"/>
      <c r="AM54" s="247"/>
      <c r="AN54" s="247"/>
      <c r="AO54" s="247"/>
      <c r="AP54" s="247"/>
      <c r="AQ54" s="247"/>
      <c r="AR54" s="247"/>
      <c r="AS54" s="247"/>
    </row>
    <row r="55" spans="3:45" s="45" customFormat="1" hidden="1" x14ac:dyDescent="0.25">
      <c r="C55" s="242" t="s">
        <v>368</v>
      </c>
      <c r="D55" s="244">
        <f>E54+E54*MWST</f>
        <v>6.4859999999999998</v>
      </c>
      <c r="E55" s="15"/>
      <c r="G55" s="231"/>
      <c r="H55" s="231"/>
      <c r="I55" s="231"/>
      <c r="J55" s="231"/>
      <c r="K55" s="231"/>
      <c r="L55" s="231"/>
      <c r="M55" s="231"/>
      <c r="N55" s="231"/>
      <c r="O55" s="231"/>
      <c r="P55" s="235"/>
      <c r="Q55" s="235"/>
      <c r="R55" s="235"/>
      <c r="S55" s="235"/>
      <c r="T55" s="235"/>
      <c r="U55" s="235"/>
      <c r="V55" s="235"/>
      <c r="W55" s="235"/>
      <c r="X55" s="235"/>
      <c r="Y55" s="235"/>
      <c r="Z55" s="235"/>
      <c r="AA55" s="235"/>
      <c r="AB55" s="235"/>
      <c r="AC55" s="235"/>
      <c r="AD55" s="21"/>
      <c r="AE55" s="21"/>
      <c r="AF55" s="21"/>
      <c r="AG55" s="21"/>
      <c r="AH55" s="21"/>
      <c r="AI55" s="21"/>
      <c r="AJ55" s="21"/>
      <c r="AK55" s="21"/>
      <c r="AL55" s="21"/>
      <c r="AM55" s="21"/>
      <c r="AN55" s="21"/>
      <c r="AO55" s="21"/>
      <c r="AP55" s="21"/>
      <c r="AQ55" s="21"/>
      <c r="AR55" s="21"/>
      <c r="AS55" s="21"/>
    </row>
    <row r="56" spans="3:45" s="45" customFormat="1" ht="17.25" x14ac:dyDescent="0.25">
      <c r="C56" s="242" t="s">
        <v>535</v>
      </c>
      <c r="D56" s="243"/>
      <c r="E56" s="234"/>
      <c r="G56" s="246">
        <v>6</v>
      </c>
      <c r="H56" s="246">
        <v>6</v>
      </c>
      <c r="I56" s="246">
        <v>6</v>
      </c>
      <c r="J56" s="246">
        <v>6</v>
      </c>
      <c r="K56" s="246">
        <v>6</v>
      </c>
      <c r="L56" s="246">
        <v>6</v>
      </c>
      <c r="M56" s="246">
        <v>6</v>
      </c>
      <c r="N56" s="246">
        <v>6</v>
      </c>
      <c r="O56" s="246">
        <v>6</v>
      </c>
      <c r="P56" s="246">
        <v>6</v>
      </c>
      <c r="Q56" s="235"/>
      <c r="R56" s="235"/>
      <c r="S56" s="235"/>
      <c r="T56" s="235"/>
      <c r="U56" s="235"/>
      <c r="V56" s="235"/>
      <c r="W56" s="235"/>
      <c r="X56" s="235"/>
      <c r="Y56" s="235"/>
      <c r="Z56" s="235"/>
      <c r="AA56" s="235"/>
      <c r="AB56" s="235"/>
      <c r="AC56" s="235"/>
      <c r="AD56" s="21"/>
      <c r="AE56" s="21"/>
      <c r="AF56" s="21"/>
      <c r="AG56" s="21"/>
      <c r="AH56" s="21"/>
      <c r="AI56" s="21"/>
      <c r="AJ56" s="21"/>
      <c r="AK56" s="21"/>
      <c r="AL56" s="21"/>
      <c r="AM56" s="21"/>
      <c r="AN56" s="21"/>
      <c r="AO56" s="21"/>
      <c r="AP56" s="21"/>
      <c r="AQ56" s="21"/>
      <c r="AR56" s="21"/>
      <c r="AS56" s="21"/>
    </row>
    <row r="57" spans="3:45" s="45" customFormat="1" ht="17.25" x14ac:dyDescent="0.25">
      <c r="C57" s="242" t="s">
        <v>538</v>
      </c>
      <c r="D57" s="243"/>
      <c r="E57" s="234"/>
      <c r="G57" s="245"/>
      <c r="H57" s="245"/>
      <c r="I57" s="245"/>
      <c r="J57" s="245"/>
      <c r="K57" s="245"/>
      <c r="L57" s="245">
        <v>133.1</v>
      </c>
      <c r="M57" s="245">
        <v>125.4</v>
      </c>
      <c r="N57" s="245">
        <v>115.4</v>
      </c>
      <c r="O57" s="245">
        <v>112.7</v>
      </c>
      <c r="P57" s="72">
        <v>115.3</v>
      </c>
      <c r="Q57" s="235"/>
      <c r="R57" s="235"/>
      <c r="S57" s="235"/>
      <c r="T57" s="235"/>
      <c r="U57" s="235"/>
      <c r="V57" s="235"/>
      <c r="W57" s="235"/>
      <c r="X57" s="235"/>
      <c r="Y57" s="235"/>
      <c r="Z57" s="235"/>
      <c r="AA57" s="235"/>
      <c r="AB57" s="235"/>
      <c r="AC57" s="235"/>
      <c r="AD57" s="21"/>
      <c r="AE57" s="21"/>
      <c r="AF57" s="21"/>
      <c r="AG57" s="21"/>
      <c r="AH57" s="21"/>
      <c r="AI57" s="21"/>
      <c r="AJ57" s="21"/>
      <c r="AK57" s="21"/>
      <c r="AL57" s="21"/>
      <c r="AM57" s="21"/>
      <c r="AN57" s="21"/>
      <c r="AO57" s="21"/>
      <c r="AP57" s="21"/>
      <c r="AQ57" s="21"/>
      <c r="AR57" s="21"/>
      <c r="AS57" s="21"/>
    </row>
    <row r="58" spans="3:45" s="45" customFormat="1" ht="17.25" x14ac:dyDescent="0.25">
      <c r="C58" s="242" t="s">
        <v>539</v>
      </c>
      <c r="D58" s="243"/>
      <c r="E58" s="248">
        <f>AVERAGE(INDEX(F58:X58,(MATCH(TRUE,INDEX(ISNUMBER(F58:X58),0),0))),INDEX(F58:X58,(MATCH(TRUE,INDEX(ISNUMBER(F58:X58),0),0)+1)),INDEX(F58:X58,(MATCH(TRUE,INDEX(ISNUMBER(F58:X58),0),0)+2)),INDEX(F58:X58,(MATCH(TRUE,INDEX(ISNUMBER(F58:X58),0),0)+3)))</f>
        <v>6.330442324371206</v>
      </c>
      <c r="G58" s="249" t="str">
        <f>IF(G57="","",G56*(G57/$P$57))</f>
        <v/>
      </c>
      <c r="H58" s="249" t="str">
        <f t="shared" ref="H58:P58" si="7">IF(H57="","",H56*(H57/$P$57))</f>
        <v/>
      </c>
      <c r="I58" s="249" t="str">
        <f t="shared" si="7"/>
        <v/>
      </c>
      <c r="J58" s="249" t="str">
        <f t="shared" si="7"/>
        <v/>
      </c>
      <c r="K58" s="249" t="str">
        <f t="shared" si="7"/>
        <v/>
      </c>
      <c r="L58" s="249">
        <f t="shared" si="7"/>
        <v>6.9262792714657415</v>
      </c>
      <c r="M58" s="249">
        <f t="shared" si="7"/>
        <v>6.5255854293148321</v>
      </c>
      <c r="N58" s="246">
        <f t="shared" si="7"/>
        <v>6.0052038161318304</v>
      </c>
      <c r="O58" s="246">
        <f t="shared" si="7"/>
        <v>5.8647007805724201</v>
      </c>
      <c r="P58" s="246">
        <f t="shared" si="7"/>
        <v>6</v>
      </c>
      <c r="Q58" s="249"/>
      <c r="R58" s="249"/>
      <c r="S58" s="249"/>
      <c r="T58" s="249"/>
      <c r="U58" s="249"/>
      <c r="V58" s="249"/>
      <c r="W58" s="249"/>
      <c r="X58" s="249"/>
      <c r="Y58" s="249"/>
      <c r="Z58" s="249"/>
      <c r="AA58" s="249"/>
      <c r="AB58" s="249"/>
      <c r="AC58" s="249"/>
      <c r="AD58" s="249"/>
      <c r="AE58" s="249"/>
      <c r="AF58" s="249"/>
      <c r="AG58" s="249"/>
      <c r="AH58" s="21"/>
      <c r="AI58" s="21"/>
      <c r="AJ58" s="21"/>
      <c r="AK58" s="21"/>
      <c r="AL58" s="21"/>
      <c r="AM58" s="21"/>
      <c r="AN58" s="21"/>
      <c r="AO58" s="21"/>
      <c r="AP58" s="21"/>
      <c r="AQ58" s="21"/>
      <c r="AR58" s="21"/>
      <c r="AS58" s="21"/>
    </row>
    <row r="59" spans="3:45" s="68" customFormat="1" ht="15.75" thickBot="1" x14ac:dyDescent="0.3">
      <c r="C59" s="250" t="s">
        <v>534</v>
      </c>
      <c r="D59" s="251">
        <f>E58+E58*MWST</f>
        <v>6.8432081526452739</v>
      </c>
      <c r="E59" s="239"/>
      <c r="G59" s="240"/>
      <c r="H59" s="240"/>
      <c r="I59" s="240"/>
      <c r="J59" s="240"/>
      <c r="K59" s="240"/>
      <c r="L59" s="240"/>
      <c r="M59" s="240"/>
      <c r="N59" s="240"/>
      <c r="O59" s="240"/>
      <c r="P59" s="241"/>
      <c r="Q59" s="241"/>
      <c r="R59" s="241"/>
      <c r="S59" s="241"/>
      <c r="T59" s="241"/>
      <c r="U59" s="241"/>
      <c r="V59" s="241"/>
      <c r="W59" s="241"/>
      <c r="X59" s="241"/>
      <c r="Y59" s="241"/>
      <c r="Z59" s="241"/>
      <c r="AA59" s="241"/>
      <c r="AB59" s="241"/>
      <c r="AC59" s="241"/>
      <c r="AD59" s="67"/>
      <c r="AE59" s="67"/>
      <c r="AF59" s="67"/>
      <c r="AG59" s="67"/>
      <c r="AH59" s="67"/>
      <c r="AI59" s="67"/>
      <c r="AJ59" s="67"/>
      <c r="AK59" s="67"/>
      <c r="AL59" s="67"/>
      <c r="AM59" s="67"/>
      <c r="AN59" s="67"/>
      <c r="AO59" s="67"/>
      <c r="AP59" s="67"/>
      <c r="AQ59" s="67"/>
      <c r="AR59" s="67"/>
      <c r="AS59" s="67"/>
    </row>
    <row r="60" spans="3:45" s="45" customFormat="1" ht="45" x14ac:dyDescent="0.25">
      <c r="C60" s="230"/>
      <c r="D60" s="15" t="s">
        <v>275</v>
      </c>
      <c r="E60" s="15" t="s">
        <v>106</v>
      </c>
      <c r="G60" s="231"/>
      <c r="H60" s="231"/>
      <c r="I60" s="231"/>
      <c r="J60" s="231"/>
      <c r="K60" s="231"/>
      <c r="L60" s="231"/>
      <c r="M60" s="231"/>
      <c r="N60" s="231"/>
      <c r="O60" s="231"/>
      <c r="P60" s="235"/>
      <c r="Q60" s="235"/>
      <c r="R60" s="235"/>
      <c r="S60" s="235"/>
      <c r="T60" s="235"/>
      <c r="U60" s="235"/>
      <c r="V60" s="235"/>
      <c r="W60" s="235"/>
      <c r="X60" s="235"/>
      <c r="Y60" s="235"/>
      <c r="Z60" s="235"/>
      <c r="AA60" s="235"/>
      <c r="AB60" s="235"/>
      <c r="AC60" s="235"/>
      <c r="AD60" s="21"/>
      <c r="AE60" s="21"/>
      <c r="AF60" s="21"/>
      <c r="AG60" s="21"/>
      <c r="AH60" s="21"/>
      <c r="AI60" s="21"/>
      <c r="AJ60" s="21"/>
      <c r="AK60" s="21"/>
      <c r="AL60" s="21"/>
      <c r="AM60" s="21"/>
      <c r="AN60" s="21"/>
      <c r="AO60" s="21"/>
      <c r="AP60" s="21"/>
      <c r="AQ60" s="21"/>
      <c r="AR60" s="21"/>
      <c r="AS60" s="21"/>
    </row>
    <row r="61" spans="3:45" s="44" customFormat="1" ht="18.75" x14ac:dyDescent="0.25">
      <c r="C61" s="252" t="s">
        <v>340</v>
      </c>
      <c r="D61" s="252"/>
      <c r="G61" s="253"/>
      <c r="H61" s="253"/>
      <c r="I61" s="253"/>
      <c r="J61" s="253"/>
      <c r="K61" s="253"/>
      <c r="L61" s="253">
        <v>114.0325</v>
      </c>
      <c r="M61" s="253">
        <v>137.66</v>
      </c>
      <c r="N61" s="253">
        <v>83.861666666666665</v>
      </c>
      <c r="O61" s="253">
        <v>68.260000000000005</v>
      </c>
      <c r="P61" s="44">
        <v>89.504999999999995</v>
      </c>
      <c r="Q61" s="44">
        <v>94.46</v>
      </c>
      <c r="R61" s="44">
        <v>77.89</v>
      </c>
      <c r="S61" s="44">
        <v>68.959999999999994</v>
      </c>
      <c r="T61" s="44">
        <v>73.06</v>
      </c>
      <c r="U61" s="44">
        <v>97.83</v>
      </c>
      <c r="V61" s="44">
        <v>99.25</v>
      </c>
      <c r="W61" s="44">
        <v>102.75</v>
      </c>
      <c r="X61" s="44">
        <v>96.74</v>
      </c>
      <c r="Y61" s="44">
        <v>84</v>
      </c>
      <c r="Z61" s="44">
        <v>67.45</v>
      </c>
      <c r="AA61" s="44">
        <v>108.22</v>
      </c>
      <c r="AB61" s="44">
        <v>79.25</v>
      </c>
      <c r="AC61" s="44">
        <v>77.88</v>
      </c>
      <c r="AD61" s="44">
        <v>68.77</v>
      </c>
      <c r="AE61" s="44">
        <v>48.99</v>
      </c>
      <c r="AF61" s="44">
        <v>42.8</v>
      </c>
      <c r="AG61" s="44">
        <v>39.770000000000003</v>
      </c>
      <c r="AH61" s="44">
        <v>45.57</v>
      </c>
      <c r="AI61" s="44">
        <v>49.42</v>
      </c>
      <c r="AJ61" s="44">
        <v>29.31</v>
      </c>
      <c r="AK61" s="44">
        <v>25.96</v>
      </c>
      <c r="AL61" s="44">
        <v>33.31</v>
      </c>
      <c r="AM61" s="44">
        <v>36.53</v>
      </c>
      <c r="AN61" s="44">
        <v>30.32</v>
      </c>
      <c r="AO61" s="44">
        <v>31.27</v>
      </c>
      <c r="AP61" s="44">
        <v>36.19</v>
      </c>
      <c r="AQ61" s="44">
        <v>37.200000000000003</v>
      </c>
      <c r="AR61" s="44">
        <v>42.33</v>
      </c>
      <c r="AS61" s="44">
        <v>42.24</v>
      </c>
    </row>
    <row r="62" spans="3:45" s="44" customFormat="1" ht="18.75" x14ac:dyDescent="0.25">
      <c r="C62" s="252" t="s">
        <v>341</v>
      </c>
      <c r="D62" s="252"/>
      <c r="G62" s="44" t="str">
        <f t="shared" ref="G62:P62" si="8">IF(G61="","",G61-100*G10)</f>
        <v/>
      </c>
      <c r="H62" s="44" t="str">
        <f t="shared" si="8"/>
        <v/>
      </c>
      <c r="I62" s="44" t="str">
        <f t="shared" si="8"/>
        <v/>
      </c>
      <c r="J62" s="44" t="str">
        <f t="shared" si="8"/>
        <v/>
      </c>
      <c r="K62" s="44" t="str">
        <f t="shared" si="8"/>
        <v/>
      </c>
      <c r="L62" s="44">
        <f t="shared" si="8"/>
        <v>79.232500000000002</v>
      </c>
      <c r="M62" s="44">
        <f t="shared" si="8"/>
        <v>102.86</v>
      </c>
      <c r="N62" s="44">
        <f t="shared" si="8"/>
        <v>52.541666666666671</v>
      </c>
      <c r="O62" s="44">
        <f t="shared" si="8"/>
        <v>40.420000000000009</v>
      </c>
      <c r="P62" s="44">
        <f t="shared" si="8"/>
        <v>61.664999999999999</v>
      </c>
      <c r="Q62" s="44">
        <f t="shared" ref="Q62:AS62" si="9">Q61-100*Q10</f>
        <v>66.62</v>
      </c>
      <c r="R62" s="44">
        <f t="shared" si="9"/>
        <v>53.53</v>
      </c>
      <c r="S62" s="44">
        <f t="shared" si="9"/>
        <v>44.599999999999994</v>
      </c>
      <c r="T62" s="44">
        <f t="shared" si="9"/>
        <v>55.660000000000004</v>
      </c>
      <c r="U62" s="44">
        <f t="shared" si="9"/>
        <v>80.430000000000007</v>
      </c>
      <c r="V62" s="44">
        <f t="shared" si="9"/>
        <v>88.81</v>
      </c>
      <c r="W62" s="44">
        <f t="shared" si="9"/>
        <v>92.31</v>
      </c>
      <c r="X62" s="44">
        <f t="shared" si="9"/>
        <v>86.3</v>
      </c>
      <c r="Y62" s="44">
        <f t="shared" si="9"/>
        <v>73.56</v>
      </c>
      <c r="Z62" s="44">
        <f t="shared" si="9"/>
        <v>63.970000000000006</v>
      </c>
      <c r="AA62" s="44">
        <f t="shared" si="9"/>
        <v>104.74</v>
      </c>
      <c r="AB62" s="44">
        <f t="shared" si="9"/>
        <v>79.25</v>
      </c>
      <c r="AC62" s="44">
        <f t="shared" si="9"/>
        <v>77.88</v>
      </c>
      <c r="AD62" s="44">
        <f t="shared" si="9"/>
        <v>68.77</v>
      </c>
      <c r="AE62" s="44">
        <f t="shared" si="9"/>
        <v>48.99</v>
      </c>
      <c r="AF62" s="44">
        <f t="shared" si="9"/>
        <v>42.8</v>
      </c>
      <c r="AG62" s="44">
        <f t="shared" si="9"/>
        <v>39.770000000000003</v>
      </c>
      <c r="AH62" s="44">
        <f t="shared" si="9"/>
        <v>45.57</v>
      </c>
      <c r="AI62" s="44">
        <f t="shared" si="9"/>
        <v>49.42</v>
      </c>
      <c r="AJ62" s="44">
        <f t="shared" si="9"/>
        <v>29.31</v>
      </c>
      <c r="AK62" s="44">
        <f t="shared" si="9"/>
        <v>25.96</v>
      </c>
      <c r="AL62" s="44">
        <f t="shared" si="9"/>
        <v>33.31</v>
      </c>
      <c r="AM62" s="44">
        <f t="shared" si="9"/>
        <v>36.53</v>
      </c>
      <c r="AN62" s="44">
        <f t="shared" si="9"/>
        <v>30.32</v>
      </c>
      <c r="AO62" s="44">
        <f t="shared" si="9"/>
        <v>31.27</v>
      </c>
      <c r="AP62" s="44">
        <f t="shared" si="9"/>
        <v>36.19</v>
      </c>
      <c r="AQ62" s="44">
        <f t="shared" si="9"/>
        <v>37.200000000000003</v>
      </c>
      <c r="AR62" s="44">
        <f t="shared" si="9"/>
        <v>42.33</v>
      </c>
      <c r="AS62" s="44">
        <f t="shared" si="9"/>
        <v>42.24</v>
      </c>
    </row>
    <row r="63" spans="3:45" s="44" customFormat="1" ht="18.75" x14ac:dyDescent="0.25">
      <c r="C63" s="252" t="s">
        <v>342</v>
      </c>
      <c r="D63" s="252"/>
      <c r="E63" s="254">
        <f>AVERAGE(INDEX(F63:X63,(MATCH(TRUE,INDEX(ISNUMBER(F63:X63),0),0))),INDEX(F63:X63,(MATCH(TRUE,INDEX(ISNUMBER(F63:X63),0),0)+1)),INDEX(F63:X63,(MATCH(TRUE,INDEX(ISNUMBER(F63:X63),0),0)+2)),INDEX(F63:X63,(MATCH(TRUE,INDEX(ISNUMBER(F63:X63),0),0)+3)))</f>
        <v>63.84729959764779</v>
      </c>
      <c r="G63" s="44" t="str">
        <f t="shared" ref="G63:AS63" si="10">IF(G62="","",G62/(1+G12))</f>
        <v/>
      </c>
      <c r="H63" s="44" t="str">
        <f t="shared" si="10"/>
        <v/>
      </c>
      <c r="I63" s="44" t="str">
        <f t="shared" si="10"/>
        <v/>
      </c>
      <c r="J63" s="44" t="str">
        <f t="shared" si="10"/>
        <v/>
      </c>
      <c r="K63" s="44" t="str">
        <f t="shared" si="10"/>
        <v/>
      </c>
      <c r="L63" s="44">
        <f t="shared" si="10"/>
        <v>73.567780872794799</v>
      </c>
      <c r="M63" s="44">
        <f t="shared" si="10"/>
        <v>95.506035283194066</v>
      </c>
      <c r="N63" s="44">
        <f t="shared" si="10"/>
        <v>48.785205818632008</v>
      </c>
      <c r="O63" s="44">
        <f t="shared" si="10"/>
        <v>37.530176415970296</v>
      </c>
      <c r="P63" s="44">
        <f t="shared" si="10"/>
        <v>57.256267409470752</v>
      </c>
      <c r="Q63" s="44">
        <f t="shared" si="10"/>
        <v>61.85701021355618</v>
      </c>
      <c r="R63" s="44">
        <f t="shared" si="10"/>
        <v>49.56481481481481</v>
      </c>
      <c r="S63" s="44">
        <f t="shared" si="10"/>
        <v>41.296296296296291</v>
      </c>
      <c r="T63" s="44">
        <f t="shared" si="10"/>
        <v>51.537037037037038</v>
      </c>
      <c r="U63" s="44">
        <f t="shared" si="10"/>
        <v>74.472222222222229</v>
      </c>
      <c r="V63" s="44">
        <f t="shared" si="10"/>
        <v>82.231481481481481</v>
      </c>
      <c r="W63" s="44">
        <f t="shared" si="10"/>
        <v>85.472222222222214</v>
      </c>
      <c r="X63" s="44">
        <f t="shared" si="10"/>
        <v>79.907407407407405</v>
      </c>
      <c r="Y63" s="44">
        <f t="shared" si="10"/>
        <v>68.364312267657994</v>
      </c>
      <c r="Z63" s="44">
        <f t="shared" si="10"/>
        <v>59.451672862453535</v>
      </c>
      <c r="AA63" s="44">
        <f t="shared" si="10"/>
        <v>97.342007434944222</v>
      </c>
      <c r="AB63" s="44">
        <f t="shared" si="10"/>
        <v>73.652416356877325</v>
      </c>
      <c r="AC63" s="44">
        <f t="shared" si="10"/>
        <v>72.379182156133822</v>
      </c>
      <c r="AD63" s="44">
        <f t="shared" si="10"/>
        <v>63.912639405204452</v>
      </c>
      <c r="AE63" s="44">
        <f t="shared" si="10"/>
        <v>45.529739776951672</v>
      </c>
      <c r="AF63" s="44">
        <f t="shared" si="10"/>
        <v>39.776951672862445</v>
      </c>
      <c r="AG63" s="44">
        <f t="shared" si="10"/>
        <v>36.960966542750931</v>
      </c>
      <c r="AH63" s="44">
        <f t="shared" si="10"/>
        <v>42.351301115241633</v>
      </c>
      <c r="AI63" s="44">
        <f t="shared" si="10"/>
        <v>45.972093023255816</v>
      </c>
      <c r="AJ63" s="44">
        <f t="shared" si="10"/>
        <v>27.265116279069769</v>
      </c>
      <c r="AK63" s="44">
        <f t="shared" si="10"/>
        <v>24.375586854460096</v>
      </c>
      <c r="AL63" s="44">
        <f t="shared" si="10"/>
        <v>31.276995305164323</v>
      </c>
      <c r="AM63" s="44">
        <f t="shared" si="10"/>
        <v>34.300469483568079</v>
      </c>
      <c r="AN63" s="44">
        <f t="shared" si="10"/>
        <v>28.46948356807512</v>
      </c>
      <c r="AO63" s="44">
        <f t="shared" si="10"/>
        <v>31.27</v>
      </c>
      <c r="AP63" s="44">
        <f t="shared" si="10"/>
        <v>36.19</v>
      </c>
      <c r="AQ63" s="44">
        <f t="shared" si="10"/>
        <v>37.200000000000003</v>
      </c>
      <c r="AR63" s="44">
        <f t="shared" si="10"/>
        <v>42.33</v>
      </c>
      <c r="AS63" s="44">
        <f t="shared" si="10"/>
        <v>42.24</v>
      </c>
    </row>
    <row r="64" spans="3:45" s="44" customFormat="1" ht="33.75" x14ac:dyDescent="0.25">
      <c r="C64" s="252" t="s">
        <v>343</v>
      </c>
      <c r="D64" s="255">
        <f>E63+100*D9/1000*2.9</f>
        <v>98.647299597647788</v>
      </c>
      <c r="E64" s="256"/>
    </row>
    <row r="65" spans="1:45" s="44" customFormat="1" ht="33.75" x14ac:dyDescent="0.25">
      <c r="C65" s="252" t="s">
        <v>344</v>
      </c>
      <c r="D65" s="255">
        <f>D64+D64*MWST</f>
        <v>106.63773086505726</v>
      </c>
      <c r="E65" s="256"/>
    </row>
    <row r="66" spans="1:45" s="70" customFormat="1" ht="34.5" thickBot="1" x14ac:dyDescent="0.3">
      <c r="C66" s="257" t="s">
        <v>345</v>
      </c>
      <c r="D66" s="258">
        <f>D65/994*100</f>
        <v>10.728141938134533</v>
      </c>
      <c r="E66" s="259"/>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row>
    <row r="67" spans="1:45" s="44" customFormat="1" ht="45" x14ac:dyDescent="0.25">
      <c r="C67" s="252"/>
      <c r="D67" s="15" t="s">
        <v>275</v>
      </c>
      <c r="E67" s="15" t="s">
        <v>106</v>
      </c>
      <c r="G67" s="261"/>
      <c r="H67" s="261"/>
      <c r="I67" s="261"/>
      <c r="J67" s="261"/>
      <c r="K67" s="261"/>
      <c r="L67" s="261"/>
      <c r="M67" s="261"/>
      <c r="N67" s="261"/>
      <c r="O67" s="261"/>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row>
    <row r="68" spans="1:45" s="43" customFormat="1" ht="18.75" x14ac:dyDescent="0.25">
      <c r="C68" s="263" t="s">
        <v>347</v>
      </c>
      <c r="D68" s="263"/>
      <c r="G68" s="264"/>
      <c r="H68" s="264"/>
      <c r="I68" s="264"/>
      <c r="J68" s="264"/>
      <c r="K68" s="264"/>
      <c r="L68" s="264">
        <v>0.17419999999999999</v>
      </c>
      <c r="M68" s="264">
        <v>0.14929999999999999</v>
      </c>
      <c r="N68" s="264">
        <v>9.8716666666666675E-2</v>
      </c>
      <c r="O68" s="265">
        <v>9.6299999999999997E-2</v>
      </c>
      <c r="P68" s="265">
        <v>0.1024</v>
      </c>
      <c r="Q68" s="265">
        <v>9.8075000000000009E-2</v>
      </c>
      <c r="R68" s="265">
        <v>9.3399999999999997E-2</v>
      </c>
      <c r="S68" s="265">
        <v>9.6199999999999994E-2</v>
      </c>
      <c r="T68" s="265">
        <v>9.6799999999999997E-2</v>
      </c>
      <c r="U68" s="265">
        <v>0.1031</v>
      </c>
      <c r="V68" s="266">
        <v>0.10050000000000001</v>
      </c>
      <c r="W68" s="266">
        <v>0.10009999999999999</v>
      </c>
      <c r="X68" s="266">
        <v>9.5299999999999996E-2</v>
      </c>
      <c r="Y68" s="266">
        <v>9.11E-2</v>
      </c>
      <c r="Z68" s="266">
        <v>9.5899999999999999E-2</v>
      </c>
      <c r="AA68" s="266">
        <v>0.1019</v>
      </c>
      <c r="AB68" s="266">
        <v>9.0800000000000006E-2</v>
      </c>
      <c r="AC68" s="266">
        <v>8.6900000000000005E-2</v>
      </c>
      <c r="AD68" s="266">
        <v>7.1499999999999994E-2</v>
      </c>
      <c r="AE68" s="266">
        <v>6.5600000000000006E-2</v>
      </c>
      <c r="AF68" s="266">
        <v>6.54E-2</v>
      </c>
      <c r="AG68" s="266">
        <v>6.6199999999999995E-2</v>
      </c>
      <c r="AH68" s="266">
        <v>7.1199999999999999E-2</v>
      </c>
      <c r="AI68" s="266">
        <v>6.13E-2</v>
      </c>
      <c r="AJ68" s="266">
        <v>5.33E-2</v>
      </c>
      <c r="AK68" s="266">
        <v>5.4800000000000001E-2</v>
      </c>
      <c r="AL68" s="266">
        <v>5.4600000000000003E-2</v>
      </c>
      <c r="AM68" s="266">
        <v>5.3800000000000001E-2</v>
      </c>
      <c r="AN68" s="266">
        <v>5.4699999999999999E-2</v>
      </c>
      <c r="AO68" s="266">
        <v>5.2699999999999997E-2</v>
      </c>
      <c r="AP68" s="266">
        <v>5.45E-2</v>
      </c>
      <c r="AQ68" s="266">
        <v>0.1754</v>
      </c>
      <c r="AR68" s="266">
        <v>0.1754</v>
      </c>
      <c r="AS68" s="266">
        <v>0.1739</v>
      </c>
    </row>
    <row r="69" spans="1:45" s="43" customFormat="1" ht="18.75" x14ac:dyDescent="0.25">
      <c r="C69" s="263" t="s">
        <v>348</v>
      </c>
      <c r="D69" s="263"/>
      <c r="G69" s="264" t="str">
        <f t="shared" ref="G69:P69" si="11">IF(G68="","",G68-G11)</f>
        <v/>
      </c>
      <c r="H69" s="264" t="str">
        <f t="shared" si="11"/>
        <v/>
      </c>
      <c r="I69" s="264" t="str">
        <f t="shared" si="11"/>
        <v/>
      </c>
      <c r="J69" s="264" t="str">
        <f t="shared" si="11"/>
        <v/>
      </c>
      <c r="K69" s="264" t="str">
        <f t="shared" si="11"/>
        <v/>
      </c>
      <c r="L69" s="264">
        <f t="shared" si="11"/>
        <v>0.14779999999999999</v>
      </c>
      <c r="M69" s="264">
        <f t="shared" si="11"/>
        <v>0.12289999999999998</v>
      </c>
      <c r="N69" s="264">
        <f t="shared" si="11"/>
        <v>7.4956666666666671E-2</v>
      </c>
      <c r="O69" s="264">
        <f t="shared" si="11"/>
        <v>7.5179999999999997E-2</v>
      </c>
      <c r="P69" s="264">
        <f t="shared" si="11"/>
        <v>8.1280000000000005E-2</v>
      </c>
      <c r="Q69" s="265">
        <f t="shared" ref="Q69:AS69" si="12">Q68-Q11</f>
        <v>7.695500000000001E-2</v>
      </c>
      <c r="R69" s="265">
        <f t="shared" si="12"/>
        <v>7.492E-2</v>
      </c>
      <c r="S69" s="265">
        <f t="shared" si="12"/>
        <v>7.7719999999999997E-2</v>
      </c>
      <c r="T69" s="265">
        <f t="shared" si="12"/>
        <v>8.3599999999999994E-2</v>
      </c>
      <c r="U69" s="265">
        <f t="shared" si="12"/>
        <v>8.9899999999999994E-2</v>
      </c>
      <c r="V69" s="265">
        <f t="shared" si="12"/>
        <v>9.258000000000001E-2</v>
      </c>
      <c r="W69" s="265">
        <f t="shared" si="12"/>
        <v>9.2179999999999998E-2</v>
      </c>
      <c r="X69" s="265">
        <f t="shared" si="12"/>
        <v>8.7379999999999999E-2</v>
      </c>
      <c r="Y69" s="265">
        <f t="shared" si="12"/>
        <v>8.3180000000000004E-2</v>
      </c>
      <c r="Z69" s="265">
        <f t="shared" si="12"/>
        <v>9.3259999999999996E-2</v>
      </c>
      <c r="AA69" s="265">
        <f t="shared" si="12"/>
        <v>9.9260000000000001E-2</v>
      </c>
      <c r="AB69" s="265">
        <f t="shared" si="12"/>
        <v>9.0800000000000006E-2</v>
      </c>
      <c r="AC69" s="265">
        <f t="shared" si="12"/>
        <v>8.6900000000000005E-2</v>
      </c>
      <c r="AD69" s="265">
        <f t="shared" si="12"/>
        <v>7.1499999999999994E-2</v>
      </c>
      <c r="AE69" s="265">
        <f t="shared" si="12"/>
        <v>6.5600000000000006E-2</v>
      </c>
      <c r="AF69" s="265">
        <f t="shared" si="12"/>
        <v>6.54E-2</v>
      </c>
      <c r="AG69" s="265">
        <f t="shared" si="12"/>
        <v>6.6199999999999995E-2</v>
      </c>
      <c r="AH69" s="265">
        <f t="shared" si="12"/>
        <v>7.1199999999999999E-2</v>
      </c>
      <c r="AI69" s="265">
        <f t="shared" si="12"/>
        <v>6.13E-2</v>
      </c>
      <c r="AJ69" s="265">
        <f t="shared" si="12"/>
        <v>5.33E-2</v>
      </c>
      <c r="AK69" s="265">
        <f t="shared" si="12"/>
        <v>5.4800000000000001E-2</v>
      </c>
      <c r="AL69" s="265">
        <f t="shared" si="12"/>
        <v>5.4600000000000003E-2</v>
      </c>
      <c r="AM69" s="265">
        <f t="shared" si="12"/>
        <v>5.3800000000000001E-2</v>
      </c>
      <c r="AN69" s="265">
        <f t="shared" si="12"/>
        <v>5.4699999999999999E-2</v>
      </c>
      <c r="AO69" s="265">
        <f t="shared" si="12"/>
        <v>5.2699999999999997E-2</v>
      </c>
      <c r="AP69" s="265">
        <f t="shared" si="12"/>
        <v>5.45E-2</v>
      </c>
      <c r="AQ69" s="265">
        <f t="shared" si="12"/>
        <v>0.1754</v>
      </c>
      <c r="AR69" s="265">
        <f t="shared" si="12"/>
        <v>0.1754</v>
      </c>
      <c r="AS69" s="265">
        <f t="shared" si="12"/>
        <v>0.1739</v>
      </c>
    </row>
    <row r="70" spans="1:45" s="43" customFormat="1" ht="18.75" x14ac:dyDescent="0.25">
      <c r="C70" s="263" t="s">
        <v>349</v>
      </c>
      <c r="D70" s="267"/>
      <c r="E70" s="268">
        <f>AVERAGE(INDEX(F70:X70,(MATCH(TRUE,INDEX(ISNUMBER(F70:X70),0),0))),INDEX(F70:X70,(MATCH(TRUE,INDEX(ISNUMBER(F70:X70),0),0)+1)),INDEX(F70:X70,(MATCH(TRUE,INDEX(ISNUMBER(F70:X70),0),0)+2)),INDEX(F70:X70,(MATCH(TRUE,INDEX(ISNUMBER(F70:X70),0),0)+3)))</f>
        <v>9.7687248529866905E-2</v>
      </c>
      <c r="G70" s="264" t="str">
        <f t="shared" ref="G70:P70" si="13">IF(G69="","",G69/(1+G12)*1)</f>
        <v/>
      </c>
      <c r="H70" s="264" t="str">
        <f t="shared" si="13"/>
        <v/>
      </c>
      <c r="I70" s="264" t="str">
        <f t="shared" si="13"/>
        <v/>
      </c>
      <c r="J70" s="264" t="str">
        <f t="shared" si="13"/>
        <v/>
      </c>
      <c r="K70" s="264" t="str">
        <f t="shared" si="13"/>
        <v/>
      </c>
      <c r="L70" s="264">
        <f t="shared" si="13"/>
        <v>0.13723305478180128</v>
      </c>
      <c r="M70" s="264">
        <f t="shared" si="13"/>
        <v>0.11411327762302692</v>
      </c>
      <c r="N70" s="264">
        <f t="shared" si="13"/>
        <v>6.959764778706283E-2</v>
      </c>
      <c r="O70" s="264">
        <f t="shared" si="13"/>
        <v>6.9805013927576598E-2</v>
      </c>
      <c r="P70" s="264">
        <f t="shared" si="13"/>
        <v>7.5468895078922946E-2</v>
      </c>
      <c r="Q70" s="265">
        <f t="shared" ref="Q70:AS70" si="14">Q69/(1+Q12)*1</f>
        <v>7.1453110492107716E-2</v>
      </c>
      <c r="R70" s="265">
        <f t="shared" si="14"/>
        <v>6.937037037037036E-2</v>
      </c>
      <c r="S70" s="265">
        <f t="shared" si="14"/>
        <v>7.1962962962962951E-2</v>
      </c>
      <c r="T70" s="265">
        <f t="shared" si="14"/>
        <v>7.7407407407407397E-2</v>
      </c>
      <c r="U70" s="265">
        <f t="shared" si="14"/>
        <v>8.3240740740740726E-2</v>
      </c>
      <c r="V70" s="265">
        <f t="shared" si="14"/>
        <v>8.5722222222222227E-2</v>
      </c>
      <c r="W70" s="265">
        <f t="shared" si="14"/>
        <v>8.5351851851851845E-2</v>
      </c>
      <c r="X70" s="265">
        <f t="shared" si="14"/>
        <v>8.09074074074074E-2</v>
      </c>
      <c r="Y70" s="265">
        <f t="shared" si="14"/>
        <v>7.7304832713754643E-2</v>
      </c>
      <c r="Z70" s="265">
        <f t="shared" si="14"/>
        <v>8.6672862453531591E-2</v>
      </c>
      <c r="AA70" s="265">
        <f t="shared" si="14"/>
        <v>9.2249070631970256E-2</v>
      </c>
      <c r="AB70" s="265">
        <f t="shared" si="14"/>
        <v>8.438661710037175E-2</v>
      </c>
      <c r="AC70" s="265">
        <f t="shared" si="14"/>
        <v>8.0762081784386611E-2</v>
      </c>
      <c r="AD70" s="265">
        <f t="shared" si="14"/>
        <v>6.6449814126394044E-2</v>
      </c>
      <c r="AE70" s="265">
        <f t="shared" si="14"/>
        <v>6.0966542750929373E-2</v>
      </c>
      <c r="AF70" s="265">
        <f t="shared" si="14"/>
        <v>6.0780669144981411E-2</v>
      </c>
      <c r="AG70" s="265">
        <f t="shared" si="14"/>
        <v>6.1524163568773223E-2</v>
      </c>
      <c r="AH70" s="265">
        <f t="shared" si="14"/>
        <v>6.6171003717472116E-2</v>
      </c>
      <c r="AI70" s="265">
        <f t="shared" si="14"/>
        <v>5.702325581395349E-2</v>
      </c>
      <c r="AJ70" s="265">
        <f t="shared" si="14"/>
        <v>4.9581395348837209E-2</v>
      </c>
      <c r="AK70" s="265">
        <f t="shared" si="14"/>
        <v>5.1455399061032865E-2</v>
      </c>
      <c r="AL70" s="265">
        <f t="shared" si="14"/>
        <v>5.1267605633802824E-2</v>
      </c>
      <c r="AM70" s="265">
        <f t="shared" si="14"/>
        <v>5.0516431924882629E-2</v>
      </c>
      <c r="AN70" s="265">
        <f t="shared" si="14"/>
        <v>5.1361502347417841E-2</v>
      </c>
      <c r="AO70" s="265">
        <f t="shared" si="14"/>
        <v>5.2699999999999997E-2</v>
      </c>
      <c r="AP70" s="265">
        <f t="shared" si="14"/>
        <v>5.45E-2</v>
      </c>
      <c r="AQ70" s="265">
        <f t="shared" si="14"/>
        <v>0.1754</v>
      </c>
      <c r="AR70" s="265">
        <f t="shared" si="14"/>
        <v>0.1754</v>
      </c>
      <c r="AS70" s="265">
        <f t="shared" si="14"/>
        <v>0.1739</v>
      </c>
    </row>
    <row r="71" spans="1:45" s="43" customFormat="1" ht="33.75" x14ac:dyDescent="0.25">
      <c r="C71" s="263" t="s">
        <v>350</v>
      </c>
      <c r="D71" s="269">
        <f>E70+D9/1000*0.22</f>
        <v>0.12408724852986691</v>
      </c>
      <c r="E71" s="270"/>
      <c r="G71" s="261"/>
      <c r="H71" s="261"/>
      <c r="I71" s="261"/>
      <c r="J71" s="261"/>
      <c r="K71" s="261"/>
      <c r="L71" s="261"/>
      <c r="M71" s="261"/>
      <c r="N71" s="261"/>
      <c r="O71" s="261"/>
      <c r="P71" s="265"/>
      <c r="Q71" s="265"/>
      <c r="R71" s="265"/>
      <c r="S71" s="265"/>
      <c r="T71" s="265"/>
      <c r="U71" s="265"/>
      <c r="V71" s="266"/>
      <c r="W71" s="266"/>
      <c r="X71" s="266"/>
      <c r="Y71" s="266"/>
      <c r="Z71" s="266"/>
      <c r="AA71" s="266"/>
      <c r="AB71" s="266"/>
      <c r="AC71" s="266"/>
      <c r="AD71" s="266"/>
      <c r="AE71" s="266"/>
      <c r="AF71" s="266"/>
      <c r="AG71" s="266"/>
      <c r="AH71" s="266"/>
      <c r="AI71" s="266"/>
      <c r="AJ71" s="266"/>
      <c r="AK71" s="266"/>
      <c r="AL71" s="266"/>
      <c r="AM71" s="266"/>
      <c r="AN71" s="266"/>
      <c r="AO71" s="266"/>
      <c r="AP71" s="266"/>
      <c r="AQ71" s="266"/>
      <c r="AR71" s="266"/>
      <c r="AS71" s="266"/>
    </row>
    <row r="72" spans="1:45" s="71" customFormat="1" ht="34.5" thickBot="1" x14ac:dyDescent="0.3">
      <c r="C72" s="271" t="s">
        <v>351</v>
      </c>
      <c r="D72" s="272">
        <f>D71+D71*MWST</f>
        <v>0.13413831566078613</v>
      </c>
      <c r="E72" s="273"/>
      <c r="G72" s="274"/>
      <c r="H72" s="274"/>
      <c r="I72" s="274"/>
      <c r="J72" s="274"/>
      <c r="K72" s="274"/>
      <c r="L72" s="274"/>
      <c r="M72" s="274"/>
      <c r="N72" s="274"/>
      <c r="O72" s="274"/>
      <c r="P72" s="275"/>
      <c r="Q72" s="275"/>
      <c r="R72" s="275"/>
      <c r="S72" s="275"/>
      <c r="T72" s="275"/>
      <c r="U72" s="275"/>
      <c r="V72" s="276"/>
      <c r="W72" s="276"/>
      <c r="X72" s="276"/>
      <c r="Y72" s="276"/>
      <c r="Z72" s="276"/>
      <c r="AA72" s="276"/>
      <c r="AB72" s="276"/>
      <c r="AC72" s="276"/>
      <c r="AD72" s="276"/>
      <c r="AE72" s="276"/>
      <c r="AF72" s="276"/>
      <c r="AG72" s="276"/>
      <c r="AH72" s="276"/>
      <c r="AI72" s="276"/>
      <c r="AJ72" s="276"/>
      <c r="AK72" s="276"/>
      <c r="AL72" s="276"/>
      <c r="AM72" s="276"/>
      <c r="AN72" s="276"/>
      <c r="AO72" s="276"/>
      <c r="AP72" s="276"/>
      <c r="AQ72" s="276"/>
      <c r="AR72" s="276"/>
      <c r="AS72" s="276"/>
    </row>
    <row r="73" spans="1:45" s="43" customFormat="1" ht="45" x14ac:dyDescent="0.25">
      <c r="C73" s="263"/>
      <c r="D73" s="15" t="s">
        <v>275</v>
      </c>
      <c r="E73" s="15" t="s">
        <v>106</v>
      </c>
      <c r="G73" s="261"/>
      <c r="H73" s="261"/>
      <c r="I73" s="261"/>
      <c r="J73" s="261"/>
      <c r="K73" s="261"/>
      <c r="L73" s="261"/>
      <c r="M73" s="261"/>
      <c r="N73" s="261"/>
      <c r="O73" s="261"/>
      <c r="P73" s="265"/>
      <c r="Q73" s="265"/>
      <c r="R73" s="265"/>
      <c r="S73" s="265"/>
      <c r="T73" s="265"/>
      <c r="U73" s="265"/>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row>
    <row r="74" spans="1:45" s="53" customFormat="1" ht="18.75" x14ac:dyDescent="0.25">
      <c r="C74" s="277" t="s">
        <v>355</v>
      </c>
      <c r="D74" s="277"/>
      <c r="G74" s="278" t="str">
        <f>G63</f>
        <v/>
      </c>
      <c r="H74" s="278" t="str">
        <f t="shared" ref="H74:AS74" si="15">H63</f>
        <v/>
      </c>
      <c r="I74" s="278" t="str">
        <f t="shared" si="15"/>
        <v/>
      </c>
      <c r="J74" s="278" t="str">
        <f t="shared" si="15"/>
        <v/>
      </c>
      <c r="K74" s="278" t="str">
        <f t="shared" si="15"/>
        <v/>
      </c>
      <c r="L74" s="278">
        <f t="shared" si="15"/>
        <v>73.567780872794799</v>
      </c>
      <c r="M74" s="278">
        <f t="shared" si="15"/>
        <v>95.506035283194066</v>
      </c>
      <c r="N74" s="278">
        <f t="shared" si="15"/>
        <v>48.785205818632008</v>
      </c>
      <c r="O74" s="278">
        <f t="shared" si="15"/>
        <v>37.530176415970296</v>
      </c>
      <c r="P74" s="278">
        <f t="shared" si="15"/>
        <v>57.256267409470752</v>
      </c>
      <c r="Q74" s="278">
        <f t="shared" si="15"/>
        <v>61.85701021355618</v>
      </c>
      <c r="R74" s="278">
        <f t="shared" si="15"/>
        <v>49.56481481481481</v>
      </c>
      <c r="S74" s="278">
        <f t="shared" si="15"/>
        <v>41.296296296296291</v>
      </c>
      <c r="T74" s="278">
        <f t="shared" si="15"/>
        <v>51.537037037037038</v>
      </c>
      <c r="U74" s="278">
        <f t="shared" si="15"/>
        <v>74.472222222222229</v>
      </c>
      <c r="V74" s="278">
        <f t="shared" si="15"/>
        <v>82.231481481481481</v>
      </c>
      <c r="W74" s="278">
        <f t="shared" si="15"/>
        <v>85.472222222222214</v>
      </c>
      <c r="X74" s="278">
        <f t="shared" si="15"/>
        <v>79.907407407407405</v>
      </c>
      <c r="Y74" s="278">
        <f t="shared" si="15"/>
        <v>68.364312267657994</v>
      </c>
      <c r="Z74" s="278">
        <f t="shared" si="15"/>
        <v>59.451672862453535</v>
      </c>
      <c r="AA74" s="278">
        <f t="shared" si="15"/>
        <v>97.342007434944222</v>
      </c>
      <c r="AB74" s="278">
        <f t="shared" si="15"/>
        <v>73.652416356877325</v>
      </c>
      <c r="AC74" s="278">
        <f t="shared" si="15"/>
        <v>72.379182156133822</v>
      </c>
      <c r="AD74" s="278">
        <f t="shared" si="15"/>
        <v>63.912639405204452</v>
      </c>
      <c r="AE74" s="278">
        <f t="shared" si="15"/>
        <v>45.529739776951672</v>
      </c>
      <c r="AF74" s="278">
        <f t="shared" si="15"/>
        <v>39.776951672862445</v>
      </c>
      <c r="AG74" s="278">
        <f t="shared" si="15"/>
        <v>36.960966542750931</v>
      </c>
      <c r="AH74" s="278">
        <f t="shared" si="15"/>
        <v>42.351301115241633</v>
      </c>
      <c r="AI74" s="278">
        <f t="shared" si="15"/>
        <v>45.972093023255816</v>
      </c>
      <c r="AJ74" s="278">
        <f t="shared" si="15"/>
        <v>27.265116279069769</v>
      </c>
      <c r="AK74" s="278">
        <f t="shared" si="15"/>
        <v>24.375586854460096</v>
      </c>
      <c r="AL74" s="278">
        <f t="shared" si="15"/>
        <v>31.276995305164323</v>
      </c>
      <c r="AM74" s="278">
        <f t="shared" si="15"/>
        <v>34.300469483568079</v>
      </c>
      <c r="AN74" s="278">
        <f t="shared" si="15"/>
        <v>28.46948356807512</v>
      </c>
      <c r="AO74" s="278">
        <f t="shared" si="15"/>
        <v>31.27</v>
      </c>
      <c r="AP74" s="278">
        <f t="shared" si="15"/>
        <v>36.19</v>
      </c>
      <c r="AQ74" s="278">
        <f t="shared" si="15"/>
        <v>37.200000000000003</v>
      </c>
      <c r="AR74" s="278">
        <f t="shared" si="15"/>
        <v>42.33</v>
      </c>
      <c r="AS74" s="278">
        <f t="shared" si="15"/>
        <v>42.24</v>
      </c>
    </row>
    <row r="75" spans="1:45" s="53" customFormat="1" ht="36" x14ac:dyDescent="0.25">
      <c r="C75" s="277" t="s">
        <v>383</v>
      </c>
      <c r="D75" s="277"/>
      <c r="E75" s="279">
        <f>AVERAGE(INDEX(F75:T75,(MATCH(TRUE,INDEX(ISNUMBER(F75:T75),0),0))),INDEX(F75:T75,(MATCH(TRUE,INDEX(ISNUMBER(F75:T75),0),0)+1)),INDEX(F75:T75,(MATCH(TRUE,INDEX(ISNUMBER(F75:T75),0),0)+2)),INDEX(F75:T75,(MATCH(TRUE,INDEX(ISNUMBER(F75:T75),0),0)+3)))</f>
        <v>70.742939492417207</v>
      </c>
      <c r="G75" s="53" t="str">
        <f>IF(ISERROR(IF(G74&lt;30,(1.4*30-(30-G74)*0.5),IF(G74&lt;=45,1.4*G74,IF(G74&gt;45,1.4*45+(G74-45)*0.5,"")))),"",IF(G74&lt;30,(1.4*30-(30-G74)*0.5),IF(G74&lt;=45,1.4*G74,IF(G74&gt;45,1.4*45+(G74-45)*0.5,""))))</f>
        <v/>
      </c>
      <c r="H75" s="53" t="str">
        <f t="shared" ref="H75:O75" si="16">IF(ISERROR(IF(H74&lt;30,(1.4*30-(30-H74)*0.5),IF(H74&lt;=45,1.4*H74,IF(H74&gt;45,1.4*45+(H74-45)*0.5,"")))),"",IF(H74&lt;30,(1.4*30-(30-H74)*0.5),IF(H74&lt;=45,1.4*H74,IF(H74&gt;45,1.4*45+(H74-45)*0.5,""))))</f>
        <v/>
      </c>
      <c r="I75" s="53" t="str">
        <f t="shared" si="16"/>
        <v/>
      </c>
      <c r="J75" s="53" t="str">
        <f t="shared" si="16"/>
        <v/>
      </c>
      <c r="K75" s="53" t="str">
        <f t="shared" si="16"/>
        <v/>
      </c>
      <c r="L75" s="53">
        <f t="shared" si="16"/>
        <v>77.2838904363974</v>
      </c>
      <c r="M75" s="53">
        <f t="shared" si="16"/>
        <v>88.253017641597026</v>
      </c>
      <c r="N75" s="53">
        <f t="shared" si="16"/>
        <v>64.892602909315997</v>
      </c>
      <c r="O75" s="53">
        <f t="shared" si="16"/>
        <v>52.542246982358414</v>
      </c>
      <c r="P75" s="53">
        <f t="shared" ref="P75:AS75" si="17">IF(P74&lt;30,(1.4*30-(30-P74)*0.5),IF(P74&lt;=45,1.4*P74,IF(P74&gt;45,1.4*45+(P74-45)*0.5,"")))</f>
        <v>69.128133704735376</v>
      </c>
      <c r="Q75" s="53">
        <f t="shared" si="17"/>
        <v>71.42850510677809</v>
      </c>
      <c r="R75" s="53">
        <f t="shared" si="17"/>
        <v>65.282407407407391</v>
      </c>
      <c r="S75" s="53">
        <f t="shared" si="17"/>
        <v>57.814814814814802</v>
      </c>
      <c r="T75" s="53">
        <f t="shared" si="17"/>
        <v>66.268518518518505</v>
      </c>
      <c r="U75" s="53">
        <f t="shared" si="17"/>
        <v>77.736111111111114</v>
      </c>
      <c r="V75" s="53">
        <f t="shared" si="17"/>
        <v>81.615740740740733</v>
      </c>
      <c r="W75" s="53">
        <f t="shared" si="17"/>
        <v>83.2361111111111</v>
      </c>
      <c r="X75" s="53">
        <f t="shared" si="17"/>
        <v>80.453703703703695</v>
      </c>
      <c r="Y75" s="53">
        <f t="shared" si="17"/>
        <v>74.682156133828983</v>
      </c>
      <c r="Z75" s="53">
        <f t="shared" si="17"/>
        <v>70.225836431226753</v>
      </c>
      <c r="AA75" s="53">
        <f t="shared" si="17"/>
        <v>89.171003717472104</v>
      </c>
      <c r="AB75" s="53">
        <f t="shared" si="17"/>
        <v>77.326208178438662</v>
      </c>
      <c r="AC75" s="53">
        <f t="shared" si="17"/>
        <v>76.689591078066911</v>
      </c>
      <c r="AD75" s="53">
        <f t="shared" si="17"/>
        <v>72.456319702602215</v>
      </c>
      <c r="AE75" s="53">
        <f t="shared" si="17"/>
        <v>63.264869888475829</v>
      </c>
      <c r="AF75" s="53">
        <f t="shared" si="17"/>
        <v>55.687732342007422</v>
      </c>
      <c r="AG75" s="53">
        <f t="shared" si="17"/>
        <v>51.745353159851298</v>
      </c>
      <c r="AH75" s="53">
        <f t="shared" si="17"/>
        <v>59.291821561338281</v>
      </c>
      <c r="AI75" s="53">
        <f t="shared" si="17"/>
        <v>63.486046511627904</v>
      </c>
      <c r="AJ75" s="53">
        <f t="shared" si="17"/>
        <v>40.632558139534886</v>
      </c>
      <c r="AK75" s="53">
        <f t="shared" si="17"/>
        <v>39.187793427230048</v>
      </c>
      <c r="AL75" s="53">
        <f t="shared" si="17"/>
        <v>43.787793427230049</v>
      </c>
      <c r="AM75" s="53">
        <f t="shared" si="17"/>
        <v>48.020657276995308</v>
      </c>
      <c r="AN75" s="53">
        <f t="shared" si="17"/>
        <v>41.23474178403756</v>
      </c>
      <c r="AO75" s="53">
        <f t="shared" si="17"/>
        <v>43.777999999999999</v>
      </c>
      <c r="AP75" s="53">
        <f t="shared" si="17"/>
        <v>50.665999999999997</v>
      </c>
      <c r="AQ75" s="53">
        <f t="shared" si="17"/>
        <v>52.08</v>
      </c>
      <c r="AR75" s="53">
        <f t="shared" si="17"/>
        <v>59.261999999999993</v>
      </c>
      <c r="AS75" s="53">
        <f t="shared" si="17"/>
        <v>59.135999999999996</v>
      </c>
    </row>
    <row r="76" spans="1:45" s="53" customFormat="1" ht="34.5" x14ac:dyDescent="0.25">
      <c r="C76" s="277" t="s">
        <v>384</v>
      </c>
      <c r="D76" s="280">
        <f>E75+E75*MWST</f>
        <v>76.473117591303009</v>
      </c>
      <c r="E76" s="279"/>
      <c r="AJ76" s="281"/>
      <c r="AK76" s="281"/>
      <c r="AL76" s="281"/>
      <c r="AM76" s="281"/>
      <c r="AN76" s="281"/>
      <c r="AO76" s="281"/>
      <c r="AP76" s="281"/>
      <c r="AQ76" s="281"/>
      <c r="AR76" s="281"/>
      <c r="AS76" s="281"/>
    </row>
    <row r="77" spans="1:45" s="53" customFormat="1" ht="17.25" x14ac:dyDescent="0.25">
      <c r="A77" s="282"/>
      <c r="B77" s="282"/>
      <c r="C77" s="277" t="s">
        <v>661</v>
      </c>
      <c r="D77" s="277"/>
      <c r="E77" s="279">
        <f>AVERAGE(INDEX(F77:T77,(MATCH(TRUE,INDEX(ISNUMBER(F77:T77),0),0))),INDEX(F77:T77,(MATCH(TRUE,INDEX(ISNUMBER(F77:T77),0),0)+1)),INDEX(F77:T77,(MATCH(TRUE,INDEX(ISNUMBER(F77:T77),0),0)+2)),INDEX(F77:T77,(MATCH(TRUE,INDEX(ISNUMBER(F77:T77),0),0)+3)))</f>
        <v>0</v>
      </c>
      <c r="G77" s="281" t="str">
        <f t="shared" ref="G77:O77" si="18">IF(G15&gt;0,(G15/$AI$15*9800*SQRT(Heizleistungsbedarf/1000)),"")</f>
        <v/>
      </c>
      <c r="H77" s="281" t="str">
        <f t="shared" si="18"/>
        <v/>
      </c>
      <c r="I77" s="281" t="str">
        <f t="shared" si="18"/>
        <v/>
      </c>
      <c r="J77" s="281" t="str">
        <f t="shared" si="18"/>
        <v/>
      </c>
      <c r="K77" s="281" t="str">
        <f t="shared" si="18"/>
        <v/>
      </c>
      <c r="L77" s="281">
        <f t="shared" si="18"/>
        <v>0</v>
      </c>
      <c r="M77" s="281">
        <f t="shared" si="18"/>
        <v>0</v>
      </c>
      <c r="N77" s="281">
        <f t="shared" si="18"/>
        <v>0</v>
      </c>
      <c r="O77" s="281">
        <f t="shared" si="18"/>
        <v>0</v>
      </c>
      <c r="P77" s="281">
        <f t="shared" ref="P77:AI77" si="19">P15/$AI$15*9800*SQRT(Heizleistungsbedarf/1000)</f>
        <v>0</v>
      </c>
      <c r="Q77" s="281">
        <f t="shared" si="19"/>
        <v>0</v>
      </c>
      <c r="R77" s="281">
        <f t="shared" si="19"/>
        <v>0</v>
      </c>
      <c r="S77" s="281">
        <f t="shared" si="19"/>
        <v>0</v>
      </c>
      <c r="T77" s="281">
        <f t="shared" si="19"/>
        <v>0</v>
      </c>
      <c r="U77" s="281">
        <f t="shared" si="19"/>
        <v>0</v>
      </c>
      <c r="V77" s="281">
        <f t="shared" si="19"/>
        <v>0</v>
      </c>
      <c r="W77" s="281">
        <f t="shared" si="19"/>
        <v>0</v>
      </c>
      <c r="X77" s="281">
        <f t="shared" si="19"/>
        <v>0</v>
      </c>
      <c r="Y77" s="281">
        <f t="shared" si="19"/>
        <v>0</v>
      </c>
      <c r="Z77" s="281">
        <f t="shared" si="19"/>
        <v>0</v>
      </c>
      <c r="AA77" s="281">
        <f t="shared" si="19"/>
        <v>0</v>
      </c>
      <c r="AB77" s="281">
        <f t="shared" si="19"/>
        <v>0</v>
      </c>
      <c r="AC77" s="281">
        <f t="shared" si="19"/>
        <v>0</v>
      </c>
      <c r="AD77" s="281">
        <f t="shared" si="19"/>
        <v>0</v>
      </c>
      <c r="AE77" s="281">
        <f t="shared" si="19"/>
        <v>0</v>
      </c>
      <c r="AF77" s="281">
        <f t="shared" si="19"/>
        <v>0</v>
      </c>
      <c r="AG77" s="281">
        <f t="shared" si="19"/>
        <v>0</v>
      </c>
      <c r="AH77" s="281">
        <f t="shared" si="19"/>
        <v>0</v>
      </c>
      <c r="AI77" s="281">
        <f t="shared" si="19"/>
        <v>0</v>
      </c>
      <c r="AM77" s="283"/>
      <c r="AN77" s="283"/>
      <c r="AO77" s="283"/>
      <c r="AP77" s="283"/>
      <c r="AQ77" s="283"/>
      <c r="AR77" s="283"/>
      <c r="AS77" s="283"/>
    </row>
    <row r="78" spans="1:45" s="53" customFormat="1" ht="32.25" x14ac:dyDescent="0.25">
      <c r="A78" s="282"/>
      <c r="B78" s="282"/>
      <c r="C78" s="277" t="s">
        <v>385</v>
      </c>
      <c r="D78" s="280" t="e">
        <f>E77/(2000*(Heizleistungsbedarf/1000))</f>
        <v>#DIV/0!</v>
      </c>
      <c r="E78" s="279"/>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M78" s="283"/>
      <c r="AN78" s="283"/>
      <c r="AO78" s="283"/>
      <c r="AP78" s="283"/>
      <c r="AQ78" s="283"/>
      <c r="AR78" s="283"/>
      <c r="AS78" s="283"/>
    </row>
    <row r="79" spans="1:45" s="53" customFormat="1" ht="30" x14ac:dyDescent="0.25">
      <c r="A79" s="282"/>
      <c r="B79" s="282"/>
      <c r="C79" s="277" t="s">
        <v>386</v>
      </c>
      <c r="D79" s="280" t="e">
        <f>D78*(1+MWST)</f>
        <v>#DIV/0!</v>
      </c>
      <c r="E79" s="279"/>
      <c r="AM79" s="283"/>
      <c r="AN79" s="283"/>
      <c r="AO79" s="283"/>
      <c r="AP79" s="283"/>
      <c r="AQ79" s="283"/>
      <c r="AR79" s="283"/>
      <c r="AS79" s="283"/>
    </row>
    <row r="80" spans="1:45" s="53" customFormat="1" ht="30" x14ac:dyDescent="0.25">
      <c r="A80" s="282"/>
      <c r="B80" s="282"/>
      <c r="C80" s="277" t="s">
        <v>387</v>
      </c>
      <c r="D80" s="284" t="e">
        <f>D79+D76</f>
        <v>#DIV/0!</v>
      </c>
      <c r="E80" s="279"/>
      <c r="AM80" s="283"/>
      <c r="AN80" s="283"/>
      <c r="AO80" s="283"/>
      <c r="AP80" s="283"/>
      <c r="AQ80" s="283"/>
      <c r="AR80" s="283"/>
      <c r="AS80" s="283"/>
    </row>
    <row r="81" spans="1:45" s="54" customFormat="1" ht="17.25" x14ac:dyDescent="0.25">
      <c r="C81" s="285" t="s">
        <v>388</v>
      </c>
      <c r="D81" s="285"/>
      <c r="E81" s="279">
        <f>AVERAGE(INDEX(F81:T81,(MATCH(TRUE,INDEX(ISNUMBER(F81:T81),0),0))),INDEX(F81:T81,(MATCH(TRUE,INDEX(ISNUMBER(F81:T81),0),0)+1)),INDEX(F81:T81,(MATCH(TRUE,INDEX(ISNUMBER(F81:T81),0),0)+2)),INDEX(F81:T81,(MATCH(TRUE,INDEX(ISNUMBER(F81:T81),0),0)+3)))</f>
        <v>49</v>
      </c>
      <c r="F81" s="53"/>
      <c r="G81" s="278"/>
      <c r="H81" s="278"/>
      <c r="I81" s="278"/>
      <c r="J81" s="278"/>
      <c r="K81" s="278"/>
      <c r="L81" s="278">
        <v>49</v>
      </c>
      <c r="M81" s="278">
        <v>49</v>
      </c>
      <c r="N81" s="278">
        <v>49</v>
      </c>
      <c r="O81" s="278">
        <v>49</v>
      </c>
      <c r="P81" s="53">
        <v>49</v>
      </c>
      <c r="Q81" s="53" t="s">
        <v>32</v>
      </c>
      <c r="R81" s="53" t="s">
        <v>32</v>
      </c>
      <c r="S81" s="53" t="s">
        <v>32</v>
      </c>
      <c r="T81" s="53" t="s">
        <v>32</v>
      </c>
      <c r="U81" s="53" t="s">
        <v>32</v>
      </c>
      <c r="V81" s="53" t="s">
        <v>32</v>
      </c>
      <c r="W81" s="53" t="s">
        <v>32</v>
      </c>
      <c r="X81" s="53" t="s">
        <v>32</v>
      </c>
      <c r="Y81" s="53" t="s">
        <v>32</v>
      </c>
      <c r="Z81" s="53" t="s">
        <v>32</v>
      </c>
      <c r="AA81" s="53" t="s">
        <v>32</v>
      </c>
      <c r="AB81" s="53" t="s">
        <v>32</v>
      </c>
      <c r="AC81" s="53" t="s">
        <v>32</v>
      </c>
      <c r="AD81" s="53" t="s">
        <v>32</v>
      </c>
      <c r="AE81" s="53" t="s">
        <v>32</v>
      </c>
      <c r="AF81" s="53" t="s">
        <v>32</v>
      </c>
      <c r="AG81" s="53" t="s">
        <v>32</v>
      </c>
      <c r="AH81" s="53" t="s">
        <v>32</v>
      </c>
      <c r="AI81" s="53" t="s">
        <v>32</v>
      </c>
      <c r="AJ81" s="53" t="s">
        <v>32</v>
      </c>
      <c r="AK81" s="53" t="s">
        <v>32</v>
      </c>
      <c r="AL81" s="53" t="s">
        <v>32</v>
      </c>
      <c r="AM81" s="53" t="s">
        <v>32</v>
      </c>
      <c r="AN81" s="53" t="s">
        <v>32</v>
      </c>
      <c r="AO81" s="53" t="s">
        <v>32</v>
      </c>
      <c r="AP81" s="53" t="s">
        <v>32</v>
      </c>
      <c r="AQ81" s="53" t="s">
        <v>32</v>
      </c>
      <c r="AR81" s="53" t="s">
        <v>32</v>
      </c>
      <c r="AS81" s="53" t="s">
        <v>32</v>
      </c>
    </row>
    <row r="82" spans="1:45" s="54" customFormat="1" ht="30" customHeight="1" x14ac:dyDescent="0.25">
      <c r="C82" s="285" t="s">
        <v>389</v>
      </c>
      <c r="D82" s="286">
        <f>E81+E81*MWST</f>
        <v>52.969000000000001</v>
      </c>
      <c r="G82" s="287"/>
      <c r="H82" s="287"/>
      <c r="I82" s="287"/>
      <c r="J82" s="287"/>
      <c r="K82" s="287"/>
      <c r="L82" s="287"/>
      <c r="M82" s="287"/>
      <c r="N82" s="287"/>
      <c r="O82" s="287"/>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row>
    <row r="83" spans="1:45" s="53" customFormat="1" ht="30" customHeight="1" x14ac:dyDescent="0.25">
      <c r="C83" s="285" t="s">
        <v>663</v>
      </c>
      <c r="D83" s="285"/>
      <c r="E83" s="279">
        <f>AVERAGE(INDEX(F83:T83,(MATCH(TRUE,INDEX(ISNUMBER(F83:T83),0),0))),INDEX(F83:T83,(MATCH(TRUE,INDEX(ISNUMBER(F83:T83),0),0)+1)),INDEX(F83:T83,(MATCH(TRUE,INDEX(ISNUMBER(F83:T83),0),0)+2)),INDEX(F83:T83,(MATCH(TRUE,INDEX(ISNUMBER(F83:T83),0),0)+3)))</f>
        <v>0</v>
      </c>
      <c r="F83" s="54"/>
      <c r="G83" s="278"/>
      <c r="H83" s="278"/>
      <c r="I83" s="278"/>
      <c r="J83" s="278"/>
      <c r="K83" s="287"/>
      <c r="L83" s="287"/>
      <c r="M83" s="281">
        <f>5564*SQRT(Heizleistungsbedarf/1000)*238.49/114.3</f>
        <v>0</v>
      </c>
      <c r="N83" s="287">
        <f>5564*SQRT(Heizleistungsbedarf/1000)*219.79/114.3</f>
        <v>0</v>
      </c>
      <c r="O83" s="287"/>
      <c r="P83" s="281">
        <f>5564*SQRT(Heizleistungsbedarf/1000)*206.39/114.3</f>
        <v>0</v>
      </c>
    </row>
    <row r="84" spans="1:45" ht="32.25" x14ac:dyDescent="0.25">
      <c r="A84" s="282"/>
      <c r="B84" s="282"/>
      <c r="C84" s="285" t="s">
        <v>390</v>
      </c>
      <c r="D84" s="280" t="e">
        <f>E83/(2000*(Heizleistungsbedarf/1000))</f>
        <v>#DIV/0!</v>
      </c>
      <c r="E84" s="54"/>
      <c r="F84" s="53"/>
      <c r="K84" s="278"/>
      <c r="L84" s="278"/>
      <c r="M84" s="278"/>
      <c r="N84" s="278"/>
      <c r="O84" s="278"/>
      <c r="P84" s="54"/>
      <c r="Q84" s="54"/>
      <c r="R84" s="54"/>
      <c r="S84" s="54"/>
      <c r="T84" s="54"/>
      <c r="U84" s="54"/>
      <c r="V84" s="54"/>
      <c r="W84" s="54"/>
      <c r="X84" s="54"/>
      <c r="Y84" s="54"/>
      <c r="Z84" s="54"/>
      <c r="AA84" s="54"/>
      <c r="AB84" s="54"/>
      <c r="AC84" s="54"/>
      <c r="AD84" s="283"/>
      <c r="AE84" s="283"/>
      <c r="AF84" s="283"/>
      <c r="AG84" s="283"/>
      <c r="AH84" s="283"/>
      <c r="AI84" s="283"/>
      <c r="AJ84" s="283"/>
      <c r="AK84" s="283"/>
      <c r="AL84" s="283"/>
      <c r="AM84" s="283"/>
      <c r="AN84" s="283"/>
      <c r="AO84" s="283"/>
      <c r="AP84" s="283"/>
      <c r="AQ84" s="283"/>
      <c r="AR84" s="283"/>
      <c r="AS84" s="283"/>
    </row>
    <row r="85" spans="1:45" ht="32.25" x14ac:dyDescent="0.25">
      <c r="C85" s="285" t="s">
        <v>391</v>
      </c>
      <c r="D85" s="286" t="e">
        <f>D84+D84*MWST</f>
        <v>#DIV/0!</v>
      </c>
      <c r="E85" s="288"/>
    </row>
    <row r="86" spans="1:45" ht="30" x14ac:dyDescent="0.25">
      <c r="C86" s="277" t="s">
        <v>392</v>
      </c>
      <c r="D86" s="284" t="e">
        <f>D82+D85</f>
        <v>#DIV/0!</v>
      </c>
      <c r="E86" s="288"/>
    </row>
    <row r="87" spans="1:45" x14ac:dyDescent="0.25">
      <c r="C87" s="285"/>
    </row>
    <row r="88" spans="1:45" x14ac:dyDescent="0.25">
      <c r="C88" s="285"/>
    </row>
    <row r="89" spans="1:45" x14ac:dyDescent="0.25">
      <c r="C89" s="285"/>
    </row>
    <row r="91" spans="1:45" x14ac:dyDescent="0.25">
      <c r="C91" s="15" t="s">
        <v>299</v>
      </c>
    </row>
    <row r="92" spans="1:45" ht="17.25" x14ac:dyDescent="0.25">
      <c r="B92" s="289" t="s">
        <v>283</v>
      </c>
      <c r="C92" s="290" t="s">
        <v>454</v>
      </c>
      <c r="D92" s="21"/>
    </row>
    <row r="93" spans="1:45" ht="17.25" x14ac:dyDescent="0.25">
      <c r="B93" s="289" t="s">
        <v>285</v>
      </c>
      <c r="C93" s="21" t="s">
        <v>300</v>
      </c>
      <c r="D93" s="21"/>
    </row>
    <row r="94" spans="1:45" ht="17.25" x14ac:dyDescent="0.25">
      <c r="B94" s="289" t="s">
        <v>286</v>
      </c>
      <c r="C94" s="21" t="s">
        <v>303</v>
      </c>
      <c r="D94" s="21"/>
    </row>
    <row r="95" spans="1:45" ht="17.25" x14ac:dyDescent="0.25">
      <c r="B95" s="289" t="s">
        <v>287</v>
      </c>
      <c r="C95" s="291" t="s">
        <v>305</v>
      </c>
      <c r="D95" s="21"/>
    </row>
    <row r="96" spans="1:45" ht="17.25" x14ac:dyDescent="0.25">
      <c r="B96" s="289" t="s">
        <v>288</v>
      </c>
      <c r="C96" s="21" t="s">
        <v>307</v>
      </c>
      <c r="D96" s="21"/>
    </row>
    <row r="97" spans="2:19" ht="17.25" x14ac:dyDescent="0.25">
      <c r="B97" s="289" t="s">
        <v>289</v>
      </c>
      <c r="C97" t="s">
        <v>427</v>
      </c>
      <c r="D97" s="21"/>
    </row>
    <row r="98" spans="2:19" ht="17.25" x14ac:dyDescent="0.25">
      <c r="B98" s="289" t="s">
        <v>290</v>
      </c>
      <c r="C98" s="292" t="s">
        <v>453</v>
      </c>
      <c r="D98" s="21"/>
    </row>
    <row r="99" spans="2:19" ht="240" customHeight="1" x14ac:dyDescent="0.25">
      <c r="B99" s="293" t="s">
        <v>291</v>
      </c>
      <c r="C99" s="415" t="s">
        <v>358</v>
      </c>
      <c r="D99" s="415"/>
      <c r="E99" s="415"/>
      <c r="F99" s="415"/>
      <c r="G99" s="415"/>
      <c r="H99" s="415"/>
      <c r="I99" s="415"/>
      <c r="J99" s="415"/>
      <c r="K99" s="415"/>
      <c r="L99" s="415"/>
      <c r="M99" s="415"/>
      <c r="N99" s="415"/>
      <c r="O99" s="415"/>
      <c r="P99" s="415"/>
      <c r="Q99" s="415"/>
      <c r="R99" s="415"/>
      <c r="S99" s="415"/>
    </row>
    <row r="100" spans="2:19" ht="17.25" x14ac:dyDescent="0.25">
      <c r="B100" s="289" t="s">
        <v>292</v>
      </c>
      <c r="C100" s="21" t="s">
        <v>428</v>
      </c>
      <c r="D100" s="21"/>
    </row>
    <row r="101" spans="2:19" ht="17.25" x14ac:dyDescent="0.25">
      <c r="B101" s="289" t="s">
        <v>293</v>
      </c>
      <c r="C101" s="21" t="s">
        <v>338</v>
      </c>
      <c r="D101" s="21"/>
    </row>
    <row r="102" spans="2:19" ht="17.25" x14ac:dyDescent="0.25">
      <c r="B102" s="289" t="s">
        <v>294</v>
      </c>
      <c r="C102" s="21" t="s">
        <v>339</v>
      </c>
      <c r="D102" s="425" t="s">
        <v>676</v>
      </c>
    </row>
    <row r="103" spans="2:19" ht="17.25" x14ac:dyDescent="0.25">
      <c r="B103" s="289" t="s">
        <v>295</v>
      </c>
      <c r="C103" s="21" t="s">
        <v>346</v>
      </c>
      <c r="D103" s="21"/>
    </row>
    <row r="104" spans="2:19" ht="17.25" x14ac:dyDescent="0.25">
      <c r="B104" s="289" t="s">
        <v>296</v>
      </c>
      <c r="C104" s="21" t="s">
        <v>356</v>
      </c>
      <c r="D104" s="21"/>
    </row>
    <row r="105" spans="2:19" ht="17.25" x14ac:dyDescent="0.25">
      <c r="B105" s="289" t="s">
        <v>297</v>
      </c>
      <c r="C105" s="291" t="s">
        <v>357</v>
      </c>
      <c r="D105" s="21"/>
    </row>
    <row r="106" spans="2:19" ht="52.5" customHeight="1" x14ac:dyDescent="0.25">
      <c r="B106" s="289" t="s">
        <v>298</v>
      </c>
      <c r="C106" s="416" t="s">
        <v>369</v>
      </c>
      <c r="D106" s="416"/>
      <c r="E106" s="416"/>
      <c r="F106" s="416"/>
      <c r="G106" s="416"/>
      <c r="H106" s="416"/>
      <c r="I106" s="416"/>
      <c r="J106" s="416"/>
      <c r="K106" s="416"/>
      <c r="L106" s="416"/>
      <c r="M106" s="416"/>
      <c r="N106" s="416"/>
    </row>
    <row r="107" spans="2:19" ht="17.25" x14ac:dyDescent="0.25">
      <c r="B107" s="289" t="s">
        <v>359</v>
      </c>
      <c r="C107" s="21" t="s">
        <v>370</v>
      </c>
      <c r="D107" s="21"/>
    </row>
    <row r="108" spans="2:19" ht="17.25" x14ac:dyDescent="0.25">
      <c r="B108" s="289" t="s">
        <v>360</v>
      </c>
      <c r="C108" s="290" t="s">
        <v>362</v>
      </c>
      <c r="D108" s="21"/>
    </row>
    <row r="109" spans="2:19" ht="17.25" x14ac:dyDescent="0.25">
      <c r="B109" s="289" t="s">
        <v>361</v>
      </c>
      <c r="C109" s="21" t="s">
        <v>363</v>
      </c>
      <c r="D109" s="21"/>
    </row>
    <row r="110" spans="2:19" ht="17.25" x14ac:dyDescent="0.25">
      <c r="B110" s="289" t="s">
        <v>381</v>
      </c>
      <c r="C110" s="21" t="s">
        <v>382</v>
      </c>
    </row>
    <row r="111" spans="2:19" ht="17.25" x14ac:dyDescent="0.25">
      <c r="B111" s="289" t="s">
        <v>536</v>
      </c>
      <c r="C111" s="290" t="s">
        <v>537</v>
      </c>
    </row>
    <row r="112" spans="2:19" ht="17.25" x14ac:dyDescent="0.25">
      <c r="B112" s="289" t="s">
        <v>540</v>
      </c>
      <c r="C112" s="21" t="s">
        <v>541</v>
      </c>
      <c r="D112" s="21"/>
    </row>
    <row r="113" spans="3:5" x14ac:dyDescent="0.25">
      <c r="C113" s="21"/>
      <c r="D113" s="21"/>
      <c r="E113" s="294"/>
    </row>
    <row r="114" spans="3:5" x14ac:dyDescent="0.25">
      <c r="E114" s="295"/>
    </row>
    <row r="115" spans="3:5" x14ac:dyDescent="0.25">
      <c r="C115" s="21"/>
      <c r="D115" s="21"/>
      <c r="E115" s="295"/>
    </row>
    <row r="116" spans="3:5" x14ac:dyDescent="0.25">
      <c r="C116" s="21"/>
      <c r="D116" s="21"/>
      <c r="E116" s="295"/>
    </row>
    <row r="117" spans="3:5" x14ac:dyDescent="0.25">
      <c r="C117" s="21"/>
      <c r="D117" s="21"/>
      <c r="E117" s="295"/>
    </row>
    <row r="118" spans="3:5" x14ac:dyDescent="0.25">
      <c r="C118" s="21"/>
      <c r="D118" s="21"/>
      <c r="E118" s="295"/>
    </row>
    <row r="119" spans="3:5" x14ac:dyDescent="0.25">
      <c r="C119" s="21"/>
      <c r="D119" s="21"/>
      <c r="E119" s="295"/>
    </row>
    <row r="120" spans="3:5" x14ac:dyDescent="0.25">
      <c r="C120" s="21"/>
      <c r="D120" s="21"/>
      <c r="E120" s="295"/>
    </row>
    <row r="121" spans="3:5" x14ac:dyDescent="0.25">
      <c r="C121" s="21"/>
      <c r="D121" s="21"/>
      <c r="E121" s="295"/>
    </row>
    <row r="122" spans="3:5" x14ac:dyDescent="0.25">
      <c r="C122" s="21"/>
      <c r="D122" s="21"/>
      <c r="E122" s="295"/>
    </row>
    <row r="123" spans="3:5" x14ac:dyDescent="0.25">
      <c r="C123" s="21"/>
      <c r="D123" s="21"/>
      <c r="E123" s="295"/>
    </row>
    <row r="124" spans="3:5" x14ac:dyDescent="0.25">
      <c r="C124" s="21"/>
      <c r="D124" s="21"/>
      <c r="E124" s="295"/>
    </row>
    <row r="125" spans="3:5" x14ac:dyDescent="0.25">
      <c r="C125" s="21"/>
      <c r="D125" s="21"/>
      <c r="E125" s="295"/>
    </row>
    <row r="126" spans="3:5" x14ac:dyDescent="0.25">
      <c r="C126" s="21"/>
      <c r="D126" s="21"/>
      <c r="E126" s="295"/>
    </row>
    <row r="127" spans="3:5" ht="17.25" x14ac:dyDescent="0.25">
      <c r="C127" s="296"/>
      <c r="D127" s="21"/>
      <c r="E127" s="295"/>
    </row>
    <row r="128" spans="3:5" x14ac:dyDescent="0.25">
      <c r="C128" s="21"/>
      <c r="D128" s="21"/>
      <c r="E128" s="295"/>
    </row>
    <row r="129" spans="3:5" x14ac:dyDescent="0.25">
      <c r="C129" s="21"/>
      <c r="D129" s="21"/>
      <c r="E129" s="295"/>
    </row>
    <row r="130" spans="3:5" x14ac:dyDescent="0.25">
      <c r="C130" s="21"/>
      <c r="D130" s="21"/>
      <c r="E130" s="295"/>
    </row>
    <row r="131" spans="3:5" x14ac:dyDescent="0.25">
      <c r="C131" s="21"/>
      <c r="D131" s="21"/>
      <c r="E131" s="295"/>
    </row>
    <row r="132" spans="3:5" x14ac:dyDescent="0.25">
      <c r="C132" s="21"/>
      <c r="D132" s="21"/>
      <c r="E132" s="295"/>
    </row>
    <row r="133" spans="3:5" x14ac:dyDescent="0.25">
      <c r="C133" s="21"/>
      <c r="D133" s="21"/>
      <c r="E133" s="295"/>
    </row>
    <row r="134" spans="3:5" x14ac:dyDescent="0.25">
      <c r="C134" s="21"/>
      <c r="D134" s="21"/>
      <c r="E134" s="295"/>
    </row>
    <row r="135" spans="3:5" x14ac:dyDescent="0.25">
      <c r="C135" s="21"/>
      <c r="D135" s="21"/>
      <c r="E135" s="295"/>
    </row>
    <row r="136" spans="3:5" x14ac:dyDescent="0.25">
      <c r="C136" s="21"/>
      <c r="D136" s="21"/>
      <c r="E136" s="295"/>
    </row>
    <row r="137" spans="3:5" x14ac:dyDescent="0.25">
      <c r="C137" s="21"/>
      <c r="D137" s="21"/>
      <c r="E137" s="295"/>
    </row>
  </sheetData>
  <sheetProtection algorithmName="SHA-512" hashValue="fD7gkMuBwbQY6vy6eQAdxLbdjpifq116xYyuKtVOb37F1xFWJrYrAhOgRpSUUei6L63ZmzkWFGfnrREvf146Yg==" saltValue="0Ceeg70cy79hDXI0MyS3MQ==" spinCount="100000" sheet="1" objects="1" scenarios="1"/>
  <mergeCells count="2">
    <mergeCell ref="C99:S99"/>
    <mergeCell ref="C106:N106"/>
  </mergeCells>
  <conditionalFormatting sqref="G30:L30">
    <cfRule type="cellIs" dxfId="25" priority="2" operator="equal">
      <formula>0</formula>
    </cfRule>
  </conditionalFormatting>
  <conditionalFormatting sqref="G32:L32">
    <cfRule type="cellIs" dxfId="24" priority="1" operator="equal">
      <formula>0</formula>
    </cfRule>
  </conditionalFormatting>
  <conditionalFormatting sqref="G7:N8">
    <cfRule type="cellIs" dxfId="23" priority="13" operator="equal">
      <formula>0</formula>
    </cfRule>
  </conditionalFormatting>
  <conditionalFormatting sqref="G12:N15">
    <cfRule type="cellIs" dxfId="22" priority="25" operator="equal">
      <formula>0</formula>
    </cfRule>
  </conditionalFormatting>
  <conditionalFormatting sqref="G68:N68">
    <cfRule type="cellIs" dxfId="21" priority="23" operator="equal">
      <formula>0</formula>
    </cfRule>
  </conditionalFormatting>
  <conditionalFormatting sqref="G18:O18">
    <cfRule type="cellIs" dxfId="20" priority="38" operator="equal">
      <formula>0</formula>
    </cfRule>
  </conditionalFormatting>
  <conditionalFormatting sqref="G20:O20">
    <cfRule type="cellIs" dxfId="19" priority="36" operator="equal">
      <formula>0</formula>
    </cfRule>
  </conditionalFormatting>
  <conditionalFormatting sqref="G22:O22">
    <cfRule type="cellIs" dxfId="18" priority="34" operator="equal">
      <formula>0</formula>
    </cfRule>
  </conditionalFormatting>
  <conditionalFormatting sqref="G24:O24">
    <cfRule type="cellIs" dxfId="17" priority="32" operator="equal">
      <formula>0</formula>
    </cfRule>
  </conditionalFormatting>
  <conditionalFormatting sqref="G26:O26">
    <cfRule type="cellIs" dxfId="16" priority="30" operator="equal">
      <formula>0</formula>
    </cfRule>
  </conditionalFormatting>
  <conditionalFormatting sqref="G28:O28">
    <cfRule type="cellIs" dxfId="15" priority="28" operator="equal">
      <formula>0</formula>
    </cfRule>
  </conditionalFormatting>
  <conditionalFormatting sqref="G34:O34">
    <cfRule type="cellIs" dxfId="14" priority="52" operator="equal">
      <formula>0</formula>
    </cfRule>
  </conditionalFormatting>
  <conditionalFormatting sqref="G36:O36">
    <cfRule type="cellIs" dxfId="13" priority="50" operator="equal">
      <formula>0</formula>
    </cfRule>
  </conditionalFormatting>
  <conditionalFormatting sqref="G38:O38">
    <cfRule type="cellIs" dxfId="12" priority="48" operator="equal">
      <formula>0</formula>
    </cfRule>
  </conditionalFormatting>
  <conditionalFormatting sqref="G40:O40">
    <cfRule type="cellIs" dxfId="11" priority="46" operator="equal">
      <formula>0</formula>
    </cfRule>
  </conditionalFormatting>
  <conditionalFormatting sqref="G42:O42">
    <cfRule type="cellIs" dxfId="10" priority="44" operator="equal">
      <formula>0</formula>
    </cfRule>
  </conditionalFormatting>
  <conditionalFormatting sqref="G44:O44">
    <cfRule type="cellIs" dxfId="9" priority="42" operator="equal">
      <formula>0</formula>
    </cfRule>
  </conditionalFormatting>
  <conditionalFormatting sqref="G46:O46">
    <cfRule type="cellIs" dxfId="8" priority="40" operator="equal">
      <formula>0</formula>
    </cfRule>
  </conditionalFormatting>
  <conditionalFormatting sqref="G49:O49">
    <cfRule type="cellIs" dxfId="7" priority="15" operator="equal">
      <formula>0</formula>
    </cfRule>
  </conditionalFormatting>
  <conditionalFormatting sqref="G54:O54">
    <cfRule type="cellIs" dxfId="6" priority="9" operator="equal">
      <formula>0</formula>
    </cfRule>
  </conditionalFormatting>
  <conditionalFormatting sqref="G57:O57">
    <cfRule type="cellIs" dxfId="5" priority="3" operator="equal">
      <formula>0</formula>
    </cfRule>
  </conditionalFormatting>
  <conditionalFormatting sqref="G61:O61">
    <cfRule type="cellIs" dxfId="4" priority="10" operator="equal">
      <formula>0</formula>
    </cfRule>
  </conditionalFormatting>
  <conditionalFormatting sqref="G81:O81">
    <cfRule type="cellIs" dxfId="3" priority="6" operator="equal">
      <formula>0</formula>
    </cfRule>
  </conditionalFormatting>
  <conditionalFormatting sqref="G74:AS74">
    <cfRule type="cellIs" dxfId="2" priority="5" operator="equal">
      <formula>0</formula>
    </cfRule>
  </conditionalFormatting>
  <conditionalFormatting sqref="O13:O15">
    <cfRule type="cellIs" dxfId="1" priority="24" operator="equal">
      <formula>0</formula>
    </cfRule>
  </conditionalFormatting>
  <hyperlinks>
    <hyperlink ref="C95" r:id="rId1" xr:uid="{00000000-0004-0000-0600-000000000000}"/>
    <hyperlink ref="C105" r:id="rId2" xr:uid="{00000000-0004-0000-0600-000001000000}"/>
    <hyperlink ref="C98" r:id="rId3" xr:uid="{00000000-0004-0000-0600-000002000000}"/>
    <hyperlink ref="C108" r:id="rId4" xr:uid="{00000000-0004-0000-0600-000003000000}"/>
    <hyperlink ref="C92" r:id="rId5" xr:uid="{00000000-0004-0000-0600-000004000000}"/>
    <hyperlink ref="C111" r:id="rId6" xr:uid="{00000000-0004-0000-0600-000005000000}"/>
    <hyperlink ref="D102" r:id="rId7" xr:uid="{853CD5A7-7ABB-4F1C-B683-3DA69BF11F77}"/>
  </hyperlinks>
  <pageMargins left="0.7" right="0.7" top="0.78740157499999996" bottom="0.78740157499999996" header="0.3" footer="0.3"/>
  <pageSetup paperSize="8" scale="41" fitToWidth="0" orientation="portrait" r:id="rId8"/>
  <ignoredErrors>
    <ignoredError sqref="D8 E34:E47 D1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6">
    <pageSetUpPr fitToPage="1"/>
  </sheetPr>
  <dimension ref="A1:V66"/>
  <sheetViews>
    <sheetView zoomScaleNormal="100" workbookViewId="0">
      <pane xSplit="2" ySplit="3" topLeftCell="C4" activePane="bottomRight" state="frozen"/>
      <selection activeCell="H17" sqref="H17:M17"/>
      <selection pane="topRight" activeCell="H17" sqref="H17:M17"/>
      <selection pane="bottomLeft" activeCell="H17" sqref="H17:M17"/>
      <selection pane="bottomRight" activeCell="H17" sqref="H17:M17"/>
    </sheetView>
  </sheetViews>
  <sheetFormatPr baseColWidth="10" defaultColWidth="11.42578125" defaultRowHeight="15" x14ac:dyDescent="0.25"/>
  <cols>
    <col min="1" max="1" width="2" bestFit="1" customWidth="1"/>
    <col min="2" max="2" width="17.5703125" bestFit="1" customWidth="1"/>
    <col min="3" max="3" width="18.7109375" style="75" bestFit="1" customWidth="1"/>
    <col min="4" max="6" width="12.7109375" customWidth="1"/>
    <col min="7" max="7" width="18.7109375" customWidth="1"/>
    <col min="8" max="8" width="2.7109375" customWidth="1"/>
    <col min="9" max="12" width="12.7109375" customWidth="1"/>
    <col min="13" max="13" width="18.5703125" customWidth="1"/>
    <col min="14" max="14" width="2.7109375" customWidth="1"/>
    <col min="15" max="22" width="10.7109375" customWidth="1"/>
  </cols>
  <sheetData>
    <row r="1" spans="1:22" s="39" customFormat="1" x14ac:dyDescent="0.25">
      <c r="C1" s="142" t="s">
        <v>365</v>
      </c>
      <c r="D1" s="143">
        <f>Heizleistungsbedarf</f>
        <v>0</v>
      </c>
      <c r="E1" s="144" t="s">
        <v>404</v>
      </c>
      <c r="F1" s="144"/>
      <c r="G1" s="145"/>
      <c r="I1" s="418" t="s">
        <v>400</v>
      </c>
      <c r="J1" s="419"/>
      <c r="K1" s="419"/>
      <c r="L1" s="419"/>
      <c r="M1" s="420"/>
      <c r="O1" s="418" t="s">
        <v>401</v>
      </c>
      <c r="P1" s="419"/>
      <c r="Q1" s="419"/>
      <c r="R1" s="419"/>
      <c r="S1" s="419"/>
      <c r="T1" s="419"/>
      <c r="U1" s="419"/>
      <c r="V1" s="420"/>
    </row>
    <row r="2" spans="1:22" x14ac:dyDescent="0.25">
      <c r="C2" s="421" t="s">
        <v>405</v>
      </c>
      <c r="D2" s="422"/>
      <c r="E2" s="422"/>
      <c r="F2" s="422"/>
      <c r="G2" s="423"/>
      <c r="I2" s="74"/>
      <c r="J2" s="74"/>
      <c r="K2" s="74"/>
      <c r="L2" s="74"/>
      <c r="M2" s="74"/>
      <c r="O2" s="417" t="s">
        <v>397</v>
      </c>
      <c r="P2" s="417"/>
      <c r="Q2" s="417" t="s">
        <v>398</v>
      </c>
      <c r="R2" s="417"/>
      <c r="S2" s="417" t="s">
        <v>239</v>
      </c>
      <c r="T2" s="417"/>
      <c r="U2" s="417" t="s">
        <v>399</v>
      </c>
      <c r="V2" s="417"/>
    </row>
    <row r="3" spans="1:22" s="16" customFormat="1" ht="60" x14ac:dyDescent="0.25">
      <c r="A3" s="15">
        <v>3</v>
      </c>
      <c r="B3" s="15" t="s">
        <v>238</v>
      </c>
      <c r="C3" s="80" t="s">
        <v>244</v>
      </c>
      <c r="D3" s="81" t="s">
        <v>245</v>
      </c>
      <c r="E3" s="81" t="s">
        <v>246</v>
      </c>
      <c r="F3" s="81" t="s">
        <v>247</v>
      </c>
      <c r="G3" s="81" t="s">
        <v>377</v>
      </c>
      <c r="I3" s="81" t="s">
        <v>240</v>
      </c>
      <c r="J3" s="81" t="s">
        <v>241</v>
      </c>
      <c r="K3" s="81" t="s">
        <v>242</v>
      </c>
      <c r="L3" s="81" t="s">
        <v>243</v>
      </c>
      <c r="M3" s="81" t="s">
        <v>394</v>
      </c>
      <c r="O3" s="16" t="s">
        <v>403</v>
      </c>
      <c r="P3" s="16" t="s">
        <v>402</v>
      </c>
      <c r="Q3" s="16" t="s">
        <v>403</v>
      </c>
      <c r="R3" s="16" t="s">
        <v>402</v>
      </c>
      <c r="S3" s="16" t="s">
        <v>403</v>
      </c>
      <c r="T3" s="16" t="s">
        <v>402</v>
      </c>
      <c r="U3" s="16" t="s">
        <v>403</v>
      </c>
      <c r="V3" s="16" t="s">
        <v>402</v>
      </c>
    </row>
    <row r="4" spans="1:22" x14ac:dyDescent="0.25">
      <c r="B4" s="82" t="s">
        <v>62</v>
      </c>
      <c r="C4" s="83" t="s">
        <v>278</v>
      </c>
      <c r="D4" s="84">
        <f>J4</f>
        <v>21780</v>
      </c>
      <c r="E4" s="84">
        <f>K4</f>
        <v>0</v>
      </c>
      <c r="F4" s="84">
        <f>L4</f>
        <v>7676</v>
      </c>
      <c r="G4" s="84">
        <f>M4</f>
        <v>26000</v>
      </c>
      <c r="H4" s="77"/>
      <c r="I4" s="77">
        <v>7</v>
      </c>
      <c r="J4" s="59">
        <v>21780</v>
      </c>
      <c r="K4" s="59">
        <v>0</v>
      </c>
      <c r="L4" s="59">
        <v>7676</v>
      </c>
      <c r="M4" s="59">
        <v>26000</v>
      </c>
      <c r="O4" s="141"/>
      <c r="P4" s="141"/>
      <c r="Q4" s="141"/>
      <c r="R4" s="141"/>
      <c r="S4" s="141"/>
      <c r="T4" s="141"/>
      <c r="U4" s="141"/>
      <c r="V4" s="141"/>
    </row>
    <row r="5" spans="1:22" x14ac:dyDescent="0.25">
      <c r="B5" t="s">
        <v>364</v>
      </c>
      <c r="C5" s="83" t="s">
        <v>279</v>
      </c>
      <c r="D5" s="85">
        <f>O5*Heizleistungsbedarf+P5</f>
        <v>18663.333333333332</v>
      </c>
      <c r="E5" s="85">
        <f>Q5*Heizleistungsbedarf+R5</f>
        <v>0</v>
      </c>
      <c r="F5" s="85">
        <f>S5*Heizleistungsbedarf+T5</f>
        <v>6930.3333333333339</v>
      </c>
      <c r="G5" s="85">
        <f>U5*Heizleistungsbedarf+V5</f>
        <v>24000</v>
      </c>
      <c r="H5" s="77"/>
      <c r="I5" s="77">
        <v>28</v>
      </c>
      <c r="J5" s="59">
        <v>31130</v>
      </c>
      <c r="K5" s="59">
        <v>0</v>
      </c>
      <c r="L5" s="59">
        <v>9913</v>
      </c>
      <c r="M5" s="59">
        <v>32000</v>
      </c>
      <c r="O5" s="141">
        <f>SLOPE(J4:J5,I4:I5)</f>
        <v>445.23809523809524</v>
      </c>
      <c r="P5" s="141">
        <f>INTERCEPT(J4:J5,I4:I5)</f>
        <v>18663.333333333332</v>
      </c>
      <c r="Q5" s="141">
        <f>SLOPE(K4:K5,I4:I5)</f>
        <v>0</v>
      </c>
      <c r="R5" s="141">
        <f>INTERCEPT(K4:K5,I4:I5)</f>
        <v>0</v>
      </c>
      <c r="S5" s="141">
        <f>SLOPE(L4:L5,I4:I5)</f>
        <v>106.52380952380952</v>
      </c>
      <c r="T5" s="141">
        <f>INTERCEPT(L4:L5,I4:I5)</f>
        <v>6930.3333333333339</v>
      </c>
      <c r="U5" s="141">
        <f>SLOPE(M4:M5,I4:I5)</f>
        <v>285.71428571428572</v>
      </c>
      <c r="V5" s="141">
        <f>INTERCEPT(M4:M5,I4:I5)</f>
        <v>24000</v>
      </c>
    </row>
    <row r="6" spans="1:22" x14ac:dyDescent="0.25">
      <c r="C6" s="83" t="s">
        <v>280</v>
      </c>
      <c r="D6" s="85">
        <f>O6*Heizleistungsbedarf+P6</f>
        <v>22814</v>
      </c>
      <c r="E6" s="85">
        <f>Q6*Heizleistungsbedarf+R6</f>
        <v>0</v>
      </c>
      <c r="F6" s="85">
        <f>S6*Heizleistungsbedarf+T6</f>
        <v>8092.2999999999993</v>
      </c>
      <c r="G6" s="85">
        <f>U6*Heizleistungsbedarf+V6</f>
        <v>26750</v>
      </c>
      <c r="H6" s="77"/>
      <c r="I6" s="77">
        <v>68</v>
      </c>
      <c r="J6" s="59">
        <v>43010</v>
      </c>
      <c r="K6" s="59">
        <v>0</v>
      </c>
      <c r="L6" s="59">
        <v>12514</v>
      </c>
      <c r="M6" s="59">
        <v>39500</v>
      </c>
      <c r="O6" s="141">
        <f>SLOPE(J5:J6,I5:I6)</f>
        <v>297</v>
      </c>
      <c r="P6" s="141">
        <f>INTERCEPT(J5:J6,I5:I6)</f>
        <v>22814</v>
      </c>
      <c r="Q6" s="141">
        <f>SLOPE(K5:K6,I5:I6)</f>
        <v>0</v>
      </c>
      <c r="R6" s="141">
        <f>INTERCEPT(K5:K6,I5:I6)</f>
        <v>0</v>
      </c>
      <c r="S6" s="141">
        <f>SLOPE(L5:L6,I5:I6)</f>
        <v>65.025000000000006</v>
      </c>
      <c r="T6" s="141">
        <f>INTERCEPT(L5:L6,I5:I6)</f>
        <v>8092.2999999999993</v>
      </c>
      <c r="U6" s="141">
        <f>SLOPE(M5:M6,I5:I6)</f>
        <v>187.5</v>
      </c>
      <c r="V6" s="141">
        <f>INTERCEPT(M5:M6,I5:I6)</f>
        <v>26750</v>
      </c>
    </row>
    <row r="7" spans="1:22" x14ac:dyDescent="0.25">
      <c r="C7" s="83" t="s">
        <v>281</v>
      </c>
      <c r="D7" s="85">
        <f>O7*Heizleistungsbedarf+P7</f>
        <v>24371.311475409842</v>
      </c>
      <c r="E7" s="85">
        <f>Q7*Heizleistungsbedarf+R7</f>
        <v>0</v>
      </c>
      <c r="F7" s="85">
        <f>S7*Heizleistungsbedarf+T7</f>
        <v>8886.0327868852473</v>
      </c>
      <c r="G7" s="85">
        <f>U7*Heizleistungsbedarf+V7</f>
        <v>26624.590163934427</v>
      </c>
      <c r="H7" s="77"/>
      <c r="I7" s="77">
        <v>190</v>
      </c>
      <c r="J7" s="59">
        <v>76450</v>
      </c>
      <c r="K7" s="59">
        <v>0</v>
      </c>
      <c r="L7" s="59">
        <v>19023</v>
      </c>
      <c r="M7" s="60">
        <v>62600</v>
      </c>
      <c r="O7" s="141">
        <f>SLOPE(J6:J7,I6:I7)</f>
        <v>274.09836065573768</v>
      </c>
      <c r="P7" s="141">
        <f>INTERCEPT(J6:J7,I6:I7)</f>
        <v>24371.311475409842</v>
      </c>
      <c r="Q7" s="141">
        <f>SLOPE(K6:K7,I6:I7)</f>
        <v>0</v>
      </c>
      <c r="R7" s="141">
        <f>INTERCEPT(K6:K7,I6:I7)</f>
        <v>0</v>
      </c>
      <c r="S7" s="141">
        <f>SLOPE(L6:L7,I6:I7)</f>
        <v>53.352459016393439</v>
      </c>
      <c r="T7" s="141">
        <f>INTERCEPT(L6:L7,I6:I7)</f>
        <v>8886.0327868852473</v>
      </c>
      <c r="U7" s="141">
        <f>SLOPE(M6:M7,I6:I7)</f>
        <v>189.34426229508196</v>
      </c>
      <c r="V7" s="141">
        <f>INTERCEPT(M6:M7,I6:I7)</f>
        <v>26624.590163934427</v>
      </c>
    </row>
    <row r="8" spans="1:22" x14ac:dyDescent="0.25">
      <c r="B8" s="79"/>
      <c r="C8" s="86" t="s">
        <v>282</v>
      </c>
      <c r="D8" s="87">
        <f>O8*Heizleistungsbedarf+P8</f>
        <v>32492.580645161288</v>
      </c>
      <c r="E8" s="87">
        <f>Q8*Heizleistungsbedarf+R8</f>
        <v>0</v>
      </c>
      <c r="F8" s="87">
        <f>S8*Heizleistungsbedarf+T8</f>
        <v>11668.16129032258</v>
      </c>
      <c r="G8" s="87">
        <f>U8*Heizleistungsbedarf+V8</f>
        <v>32016.129032258061</v>
      </c>
      <c r="H8" s="77"/>
      <c r="I8" s="78">
        <v>500</v>
      </c>
      <c r="J8" s="61">
        <v>148170</v>
      </c>
      <c r="K8" s="61">
        <v>0</v>
      </c>
      <c r="L8" s="61">
        <v>31023</v>
      </c>
      <c r="M8" s="61">
        <v>112500</v>
      </c>
      <c r="O8" s="141">
        <f>SLOPE(J7:J8,I7:I8)</f>
        <v>231.35483870967741</v>
      </c>
      <c r="P8" s="141">
        <f>INTERCEPT(J7:J8,I7:I8)</f>
        <v>32492.580645161288</v>
      </c>
      <c r="Q8" s="141">
        <f>SLOPE(K7:K8,I7:I8)</f>
        <v>0</v>
      </c>
      <c r="R8" s="141">
        <f>INTERCEPT(K7:K8,I7:I8)</f>
        <v>0</v>
      </c>
      <c r="S8" s="141">
        <f>SLOPE(L7:L8,I7:I8)</f>
        <v>38.70967741935484</v>
      </c>
      <c r="T8" s="141">
        <f>INTERCEPT(L7:L8,I7:I8)</f>
        <v>11668.16129032258</v>
      </c>
      <c r="U8" s="141">
        <f>SLOPE(M7:M8,I7:I8)</f>
        <v>160.96774193548387</v>
      </c>
      <c r="V8" s="141">
        <f>INTERCEPT(M7:M8,I7:I8)</f>
        <v>32016.129032258061</v>
      </c>
    </row>
    <row r="9" spans="1:22" x14ac:dyDescent="0.25">
      <c r="B9" s="88" t="s">
        <v>62</v>
      </c>
      <c r="C9" s="89" t="s">
        <v>278</v>
      </c>
      <c r="D9" s="90">
        <f>J9</f>
        <v>7260</v>
      </c>
      <c r="E9" s="90">
        <f>K9</f>
        <v>0</v>
      </c>
      <c r="F9" s="90">
        <f>L9</f>
        <v>3531</v>
      </c>
      <c r="G9" s="90">
        <f>M9</f>
        <v>25000</v>
      </c>
      <c r="H9" s="92"/>
      <c r="I9" s="92">
        <v>7</v>
      </c>
      <c r="J9" s="93">
        <v>7260</v>
      </c>
      <c r="K9" s="93">
        <v>0</v>
      </c>
      <c r="L9" s="93">
        <v>3531</v>
      </c>
      <c r="M9" s="93">
        <v>25000</v>
      </c>
      <c r="O9" s="141"/>
      <c r="P9" s="141"/>
      <c r="Q9" s="141"/>
      <c r="R9" s="141"/>
      <c r="S9" s="141"/>
      <c r="T9" s="141"/>
      <c r="U9" s="141"/>
      <c r="V9" s="141"/>
    </row>
    <row r="10" spans="1:22" x14ac:dyDescent="0.25">
      <c r="B10" s="91" t="s">
        <v>114</v>
      </c>
      <c r="C10" s="89" t="s">
        <v>279</v>
      </c>
      <c r="D10" s="92">
        <f>O10*Heizleistungsbedarf+P10</f>
        <v>7003.333333333333</v>
      </c>
      <c r="E10" s="92">
        <f>Q10*Heizleistungsbedarf+R10</f>
        <v>0</v>
      </c>
      <c r="F10" s="92">
        <f>S10*Heizleistungsbedarf+T10</f>
        <v>3444.6666666666665</v>
      </c>
      <c r="G10" s="92">
        <f>U10*Heizleistungsbedarf+V10</f>
        <v>23800</v>
      </c>
      <c r="H10" s="92"/>
      <c r="I10" s="92">
        <v>28</v>
      </c>
      <c r="J10" s="93">
        <v>8030</v>
      </c>
      <c r="K10" s="93">
        <v>0</v>
      </c>
      <c r="L10" s="93">
        <v>3790</v>
      </c>
      <c r="M10" s="93">
        <v>28600</v>
      </c>
      <c r="O10" s="141">
        <f>SLOPE(J9:J10,I9:I10)</f>
        <v>36.666666666666664</v>
      </c>
      <c r="P10" s="141">
        <f>INTERCEPT(J9:J10,I9:I10)</f>
        <v>7003.333333333333</v>
      </c>
      <c r="Q10" s="141">
        <f>SLOPE(K9:K10,I9:I10)</f>
        <v>0</v>
      </c>
      <c r="R10" s="141">
        <f>INTERCEPT(K9:K10,I9:I10)</f>
        <v>0</v>
      </c>
      <c r="S10" s="141">
        <f>SLOPE(L9:L10,I9:I10)</f>
        <v>12.333333333333334</v>
      </c>
      <c r="T10" s="141">
        <f>INTERCEPT(L9:L10,I9:I10)</f>
        <v>3444.6666666666665</v>
      </c>
      <c r="U10" s="141">
        <f>SLOPE(M9:M10,I9:I10)</f>
        <v>171.42857142857142</v>
      </c>
      <c r="V10" s="141">
        <f>INTERCEPT(M9:M10,I9:I10)</f>
        <v>23800</v>
      </c>
    </row>
    <row r="11" spans="1:22" x14ac:dyDescent="0.25">
      <c r="B11" s="91"/>
      <c r="C11" s="89" t="s">
        <v>280</v>
      </c>
      <c r="D11" s="92">
        <f>O11*Heizleistungsbedarf+P11</f>
        <v>2563</v>
      </c>
      <c r="E11" s="92">
        <f>Q11*Heizleistungsbedarf+R11</f>
        <v>0</v>
      </c>
      <c r="F11" s="92">
        <f>S11*Heizleistungsbedarf+T11</f>
        <v>2159</v>
      </c>
      <c r="G11" s="92">
        <f>U11*Heizleistungsbedarf+V11</f>
        <v>23700</v>
      </c>
      <c r="H11" s="92"/>
      <c r="I11" s="92">
        <v>68</v>
      </c>
      <c r="J11" s="93">
        <v>15840</v>
      </c>
      <c r="K11" s="93">
        <v>0</v>
      </c>
      <c r="L11" s="93">
        <v>6120</v>
      </c>
      <c r="M11" s="93">
        <v>35600</v>
      </c>
      <c r="O11" s="141">
        <f>SLOPE(J10:J11,I10:I11)</f>
        <v>195.25</v>
      </c>
      <c r="P11" s="141">
        <f>INTERCEPT(J10:J11,I10:I11)</f>
        <v>2563</v>
      </c>
      <c r="Q11" s="141">
        <f>SLOPE(K10:K11,I10:I11)</f>
        <v>0</v>
      </c>
      <c r="R11" s="141">
        <f>INTERCEPT(K10:K11,I10:I11)</f>
        <v>0</v>
      </c>
      <c r="S11" s="141">
        <f>SLOPE(L10:L11,I10:I11)</f>
        <v>58.25</v>
      </c>
      <c r="T11" s="141">
        <f>INTERCEPT(L10:L11,I10:I11)</f>
        <v>2159</v>
      </c>
      <c r="U11" s="141">
        <f>SLOPE(M10:M11,I10:I11)</f>
        <v>175</v>
      </c>
      <c r="V11" s="141">
        <f>INTERCEPT(M10:M11,I10:I11)</f>
        <v>23700</v>
      </c>
    </row>
    <row r="12" spans="1:22" x14ac:dyDescent="0.25">
      <c r="B12" s="91"/>
      <c r="C12" s="89" t="s">
        <v>281</v>
      </c>
      <c r="D12" s="92">
        <f>O12*Heizleistungsbedarf+P12</f>
        <v>3822.9508196721326</v>
      </c>
      <c r="E12" s="92">
        <f>Q12*Heizleistungsbedarf+R12</f>
        <v>0</v>
      </c>
      <c r="F12" s="92">
        <f>S12*Heizleistungsbedarf+T12</f>
        <v>3225.5409836065573</v>
      </c>
      <c r="G12" s="92">
        <f>U12*Heizleistungsbedarf+V12</f>
        <v>23727.868852459014</v>
      </c>
      <c r="H12" s="92"/>
      <c r="I12" s="92">
        <v>190</v>
      </c>
      <c r="J12" s="93">
        <v>37400</v>
      </c>
      <c r="K12" s="93">
        <v>0</v>
      </c>
      <c r="L12" s="93">
        <v>11313</v>
      </c>
      <c r="M12" s="94">
        <v>56900</v>
      </c>
      <c r="O12" s="141">
        <f>SLOPE(J11:J12,I11:I12)</f>
        <v>176.72131147540983</v>
      </c>
      <c r="P12" s="141">
        <f>INTERCEPT(J11:J12,I11:I12)</f>
        <v>3822.9508196721326</v>
      </c>
      <c r="Q12" s="141">
        <f>SLOPE(K11:K12,I11:I12)</f>
        <v>0</v>
      </c>
      <c r="R12" s="141">
        <f>INTERCEPT(K11:K12,I11:I12)</f>
        <v>0</v>
      </c>
      <c r="S12" s="141">
        <f>SLOPE(L11:L12,I11:I12)</f>
        <v>42.565573770491802</v>
      </c>
      <c r="T12" s="141">
        <f>INTERCEPT(L11:L12,I11:I12)</f>
        <v>3225.5409836065573</v>
      </c>
      <c r="U12" s="141">
        <f>SLOPE(M11:M12,I11:I12)</f>
        <v>174.59016393442624</v>
      </c>
      <c r="V12" s="141">
        <f>INTERCEPT(M11:M12,I11:I12)</f>
        <v>23727.868852459014</v>
      </c>
    </row>
    <row r="13" spans="1:22" x14ac:dyDescent="0.25">
      <c r="B13" s="95"/>
      <c r="C13" s="96" t="s">
        <v>282</v>
      </c>
      <c r="D13" s="97">
        <f>O13*Heizleistungsbedarf+P13</f>
        <v>11982.903225806447</v>
      </c>
      <c r="E13" s="97">
        <f>Q13*Heizleistungsbedarf+R13</f>
        <v>0</v>
      </c>
      <c r="F13" s="97">
        <f>S13*Heizleistungsbedarf+T13</f>
        <v>6317.8387096774204</v>
      </c>
      <c r="G13" s="97">
        <f>U13*Heizleistungsbedarf+V13</f>
        <v>23803.225806451614</v>
      </c>
      <c r="H13" s="92"/>
      <c r="I13" s="97">
        <v>500</v>
      </c>
      <c r="J13" s="98">
        <v>78870</v>
      </c>
      <c r="K13" s="98">
        <v>0</v>
      </c>
      <c r="L13" s="98">
        <v>19463</v>
      </c>
      <c r="M13" s="98">
        <v>110900</v>
      </c>
      <c r="O13" s="141">
        <f>SLOPE(J12:J13,I12:I13)</f>
        <v>133.7741935483871</v>
      </c>
      <c r="P13" s="141">
        <f>INTERCEPT(J12:J13,I12:I13)</f>
        <v>11982.903225806447</v>
      </c>
      <c r="Q13" s="141">
        <f>SLOPE(K12:K13,I12:I13)</f>
        <v>0</v>
      </c>
      <c r="R13" s="141">
        <f>INTERCEPT(K12:K13,I12:I13)</f>
        <v>0</v>
      </c>
      <c r="S13" s="141">
        <f>SLOPE(L12:L13,I12:I13)</f>
        <v>26.29032258064516</v>
      </c>
      <c r="T13" s="141">
        <f>INTERCEPT(L12:L13,I12:I13)</f>
        <v>6317.8387096774204</v>
      </c>
      <c r="U13" s="141">
        <f>SLOPE(M12:M13,I12:I13)</f>
        <v>174.19354838709677</v>
      </c>
      <c r="V13" s="141">
        <f>INTERCEPT(M12:M13,I12:I13)</f>
        <v>23803.225806451614</v>
      </c>
    </row>
    <row r="14" spans="1:22" x14ac:dyDescent="0.25">
      <c r="B14" t="s">
        <v>259</v>
      </c>
      <c r="C14" s="75" t="s">
        <v>278</v>
      </c>
      <c r="D14" s="59">
        <v>28600</v>
      </c>
      <c r="E14" s="59">
        <v>2800</v>
      </c>
      <c r="F14" s="59">
        <v>14900</v>
      </c>
      <c r="G14" s="59">
        <v>0</v>
      </c>
      <c r="I14" s="77">
        <v>7</v>
      </c>
      <c r="J14" s="59">
        <v>28600</v>
      </c>
      <c r="K14" s="59">
        <v>2750</v>
      </c>
      <c r="L14" s="59">
        <v>14924</v>
      </c>
      <c r="M14" s="59">
        <v>0</v>
      </c>
      <c r="O14" s="141"/>
      <c r="P14" s="141"/>
      <c r="Q14" s="141"/>
      <c r="R14" s="141"/>
      <c r="S14" s="141"/>
      <c r="T14" s="141"/>
      <c r="U14" s="141"/>
      <c r="V14" s="141"/>
    </row>
    <row r="15" spans="1:22" x14ac:dyDescent="0.25">
      <c r="C15" s="75" t="s">
        <v>279</v>
      </c>
      <c r="D15" s="77">
        <f>O15*Heizleistungsbedarf+P15</f>
        <v>21560</v>
      </c>
      <c r="E15" s="77">
        <f>Q15*Heizleistungsbedarf+R15</f>
        <v>2603.3333333333335</v>
      </c>
      <c r="F15" s="77">
        <f>S15*Heizleistungsbedarf+T15</f>
        <v>12485.333333333332</v>
      </c>
      <c r="G15" s="77">
        <f>U15*Heizleistungsbedarf+V15</f>
        <v>0</v>
      </c>
      <c r="I15" s="77">
        <v>28</v>
      </c>
      <c r="J15" s="59">
        <v>49720</v>
      </c>
      <c r="K15" s="59">
        <v>3190</v>
      </c>
      <c r="L15" s="59">
        <v>22240</v>
      </c>
      <c r="M15" s="59">
        <v>0</v>
      </c>
      <c r="O15" s="141">
        <f>SLOPE(J14:J15,I14:I15)</f>
        <v>1005.7142857142857</v>
      </c>
      <c r="P15" s="141">
        <f>INTERCEPT(J14:J15,I14:I15)</f>
        <v>21560</v>
      </c>
      <c r="Q15" s="141">
        <f>SLOPE(K14:K15,I14:I15)</f>
        <v>20.952380952380953</v>
      </c>
      <c r="R15" s="141">
        <f>INTERCEPT(K14:K15,I14:I15)</f>
        <v>2603.3333333333335</v>
      </c>
      <c r="S15" s="141">
        <f>SLOPE(L14:L15,I14:I15)</f>
        <v>348.38095238095241</v>
      </c>
      <c r="T15" s="141">
        <f>INTERCEPT(L14:L15,I14:I15)</f>
        <v>12485.333333333332</v>
      </c>
      <c r="U15" s="141">
        <f>SLOPE(M14:M15,I14:I15)</f>
        <v>0</v>
      </c>
      <c r="V15" s="141">
        <f>INTERCEPT(M14:M15,I14:I15)</f>
        <v>0</v>
      </c>
    </row>
    <row r="16" spans="1:22" x14ac:dyDescent="0.25">
      <c r="C16" s="75" t="s">
        <v>280</v>
      </c>
      <c r="D16" s="77">
        <f>O16*Heizleistungsbedarf+P16</f>
        <v>5060</v>
      </c>
      <c r="E16" s="77">
        <f>Q16*Heizleistungsbedarf+R16</f>
        <v>1573</v>
      </c>
      <c r="F16" s="77">
        <f>S16*Heizleistungsbedarf+T16</f>
        <v>9299.8000000000029</v>
      </c>
      <c r="G16" s="77">
        <f>U16*Heizleistungsbedarf+V16</f>
        <v>0</v>
      </c>
      <c r="I16" s="77">
        <v>68</v>
      </c>
      <c r="J16" s="59">
        <v>113520</v>
      </c>
      <c r="K16" s="59">
        <v>5500</v>
      </c>
      <c r="L16" s="59">
        <v>40726</v>
      </c>
      <c r="M16" s="59">
        <v>0</v>
      </c>
      <c r="O16" s="141">
        <f>SLOPE(J15:J16,I15:I16)</f>
        <v>1595</v>
      </c>
      <c r="P16" s="141">
        <f>INTERCEPT(J15:J16,I15:I16)</f>
        <v>5060</v>
      </c>
      <c r="Q16" s="141">
        <f>SLOPE(K15:K16,I15:I16)</f>
        <v>57.75</v>
      </c>
      <c r="R16" s="141">
        <f>INTERCEPT(K15:K16,I15:I16)</f>
        <v>1573</v>
      </c>
      <c r="S16" s="141">
        <f>SLOPE(L15:L16,I15:I16)</f>
        <v>462.15</v>
      </c>
      <c r="T16" s="141">
        <f>INTERCEPT(L15:L16,I15:I16)</f>
        <v>9299.8000000000029</v>
      </c>
      <c r="U16" s="141">
        <f>SLOPE(M15:M16,I15:I16)</f>
        <v>0</v>
      </c>
      <c r="V16" s="141">
        <f>INTERCEPT(M15:M16,I15:I16)</f>
        <v>0</v>
      </c>
    </row>
    <row r="17" spans="2:22" x14ac:dyDescent="0.25">
      <c r="C17" s="75" t="s">
        <v>281</v>
      </c>
      <c r="D17" s="77">
        <f>O17*Heizleistungsbedarf+P17</f>
        <v>10884.590163934423</v>
      </c>
      <c r="E17" s="77">
        <f>Q17*Heizleistungsbedarf+R17</f>
        <v>5500</v>
      </c>
      <c r="F17" s="77">
        <f>S17*Heizleistungsbedarf+T17</f>
        <v>16651.213114754093</v>
      </c>
      <c r="G17" s="77">
        <f>U17*Heizleistungsbedarf+V17</f>
        <v>0</v>
      </c>
      <c r="I17" s="77">
        <v>190</v>
      </c>
      <c r="J17" s="59">
        <v>297660</v>
      </c>
      <c r="K17" s="59">
        <v>5500</v>
      </c>
      <c r="L17" s="59">
        <v>83919</v>
      </c>
      <c r="M17" s="60">
        <v>0</v>
      </c>
      <c r="O17" s="141">
        <f>SLOPE(J16:J17,I16:I17)</f>
        <v>1509.344262295082</v>
      </c>
      <c r="P17" s="141">
        <f>INTERCEPT(J16:J17,I16:I17)</f>
        <v>10884.590163934423</v>
      </c>
      <c r="Q17" s="141">
        <f>SLOPE(K16:K17,I16:I17)</f>
        <v>0</v>
      </c>
      <c r="R17" s="141">
        <f>INTERCEPT(K16:K17,I16:I17)</f>
        <v>5500</v>
      </c>
      <c r="S17" s="141">
        <f>SLOPE(L16:L17,I16:I17)</f>
        <v>354.0409836065574</v>
      </c>
      <c r="T17" s="141">
        <f>INTERCEPT(L16:L17,I16:I17)</f>
        <v>16651.213114754093</v>
      </c>
      <c r="U17" s="141">
        <f>SLOPE(M16:M17,I16:I17)</f>
        <v>0</v>
      </c>
      <c r="V17" s="141">
        <f>INTERCEPT(M16:M17,I16:I17)</f>
        <v>0</v>
      </c>
    </row>
    <row r="18" spans="2:22" x14ac:dyDescent="0.25">
      <c r="B18" s="79"/>
      <c r="C18" s="76" t="s">
        <v>282</v>
      </c>
      <c r="D18" s="78">
        <f>D17</f>
        <v>10884.590163934423</v>
      </c>
      <c r="E18" s="78">
        <f>E17</f>
        <v>5500</v>
      </c>
      <c r="F18" s="78">
        <f>F17</f>
        <v>16651.213114754093</v>
      </c>
      <c r="G18" s="78">
        <f>G17</f>
        <v>0</v>
      </c>
      <c r="I18" s="78"/>
      <c r="J18" s="61"/>
      <c r="K18" s="61"/>
      <c r="L18" s="61"/>
      <c r="M18" s="61"/>
      <c r="O18" s="141"/>
      <c r="P18" s="141"/>
      <c r="Q18" s="141"/>
      <c r="R18" s="141"/>
      <c r="S18" s="141"/>
      <c r="T18" s="141"/>
      <c r="U18" s="141"/>
      <c r="V18" s="141"/>
    </row>
    <row r="19" spans="2:22" x14ac:dyDescent="0.25">
      <c r="B19" t="s">
        <v>258</v>
      </c>
      <c r="C19" s="75" t="s">
        <v>278</v>
      </c>
      <c r="D19" s="59">
        <v>35600</v>
      </c>
      <c r="E19" s="59">
        <v>9900</v>
      </c>
      <c r="F19" s="59">
        <v>17500</v>
      </c>
      <c r="G19" s="60">
        <v>0</v>
      </c>
      <c r="I19" s="77">
        <v>7</v>
      </c>
      <c r="J19" s="59">
        <v>35530</v>
      </c>
      <c r="K19" s="59">
        <v>9900</v>
      </c>
      <c r="L19" s="59">
        <v>17443</v>
      </c>
      <c r="M19" s="60">
        <v>0</v>
      </c>
      <c r="O19" s="141"/>
      <c r="P19" s="141"/>
      <c r="Q19" s="141"/>
      <c r="R19" s="141"/>
      <c r="S19" s="141"/>
      <c r="T19" s="141"/>
      <c r="U19" s="141"/>
      <c r="V19" s="141"/>
    </row>
    <row r="20" spans="2:22" x14ac:dyDescent="0.25">
      <c r="C20" s="75" t="s">
        <v>279</v>
      </c>
      <c r="D20" s="77">
        <f>O20*Heizleistungsbedarf+P20</f>
        <v>29920</v>
      </c>
      <c r="E20" s="77">
        <f>Q20*Heizleistungsbedarf+R20</f>
        <v>9643.3333333333339</v>
      </c>
      <c r="F20" s="77">
        <f>S20*Heizleistungsbedarf+T20</f>
        <v>15560</v>
      </c>
      <c r="G20" s="77">
        <f>U20*Heizleistungsbedarf+V20</f>
        <v>0</v>
      </c>
      <c r="I20" s="77">
        <v>28</v>
      </c>
      <c r="J20" s="59">
        <v>52360</v>
      </c>
      <c r="K20" s="59">
        <v>10670</v>
      </c>
      <c r="L20" s="59">
        <v>23092</v>
      </c>
      <c r="M20" s="60">
        <v>0</v>
      </c>
      <c r="O20" s="141">
        <f>SLOPE(J19:J20,I19:I20)</f>
        <v>801.42857142857144</v>
      </c>
      <c r="P20" s="141">
        <f>INTERCEPT(J19:J20,I19:I20)</f>
        <v>29920</v>
      </c>
      <c r="Q20" s="141">
        <f>SLOPE(K19:K20,I19:I20)</f>
        <v>36.666666666666664</v>
      </c>
      <c r="R20" s="141">
        <f>INTERCEPT(K19:K20,I19:I20)</f>
        <v>9643.3333333333339</v>
      </c>
      <c r="S20" s="141">
        <f>SLOPE(L19:L20,I19:I20)</f>
        <v>269</v>
      </c>
      <c r="T20" s="141">
        <f>INTERCEPT(L19:L20,I19:I20)</f>
        <v>15560</v>
      </c>
      <c r="U20" s="141">
        <f>SLOPE(M19:M20,I19:I20)</f>
        <v>0</v>
      </c>
      <c r="V20" s="141">
        <f>INTERCEPT(M19:M20,I19:I20)</f>
        <v>0</v>
      </c>
    </row>
    <row r="21" spans="2:22" x14ac:dyDescent="0.25">
      <c r="C21" s="75" t="s">
        <v>280</v>
      </c>
      <c r="D21" s="77">
        <f>O21*Heizleistungsbedarf+P21</f>
        <v>-1309</v>
      </c>
      <c r="E21" s="77">
        <f>Q21*Heizleistungsbedarf+R21</f>
        <v>6589</v>
      </c>
      <c r="F21" s="77">
        <f>S21*Heizleistungsbedarf+T21</f>
        <v>7908.3000000000029</v>
      </c>
      <c r="G21" s="77">
        <f>U21*Heizleistungsbedarf+V21</f>
        <v>0</v>
      </c>
      <c r="I21" s="77">
        <v>68</v>
      </c>
      <c r="J21" s="59">
        <v>129030</v>
      </c>
      <c r="K21" s="59">
        <v>16500</v>
      </c>
      <c r="L21" s="59">
        <v>44783</v>
      </c>
      <c r="M21" s="60">
        <v>0</v>
      </c>
      <c r="O21" s="141">
        <f>SLOPE(J20:J21,I20:I21)</f>
        <v>1916.75</v>
      </c>
      <c r="P21" s="141">
        <f>INTERCEPT(J20:J21,I20:I21)</f>
        <v>-1309</v>
      </c>
      <c r="Q21" s="141">
        <f>SLOPE(K20:K21,I20:I21)</f>
        <v>145.75</v>
      </c>
      <c r="R21" s="141">
        <f>INTERCEPT(K20:K21,I20:I21)</f>
        <v>6589</v>
      </c>
      <c r="S21" s="141">
        <f>SLOPE(L20:L21,I20:I21)</f>
        <v>542.27499999999998</v>
      </c>
      <c r="T21" s="141">
        <f>INTERCEPT(L20:L21,I20:I21)</f>
        <v>7908.3000000000029</v>
      </c>
      <c r="U21" s="141">
        <f>SLOPE(M20:M21,I20:I21)</f>
        <v>0</v>
      </c>
      <c r="V21" s="141">
        <f>INTERCEPT(M20:M21,I20:I21)</f>
        <v>0</v>
      </c>
    </row>
    <row r="22" spans="2:22" x14ac:dyDescent="0.25">
      <c r="C22" s="75" t="s">
        <v>281</v>
      </c>
      <c r="D22" s="77">
        <f>O22*Heizleistungsbedarf+P22</f>
        <v>20631.311475409835</v>
      </c>
      <c r="E22" s="77">
        <f>Q22*Heizleistungsbedarf+R22</f>
        <v>18339.344262295082</v>
      </c>
      <c r="F22" s="77">
        <f>S22*Heizleistungsbedarf+T22</f>
        <v>19908.37704918033</v>
      </c>
      <c r="G22" s="77">
        <f>U22*Heizleistungsbedarf+V22</f>
        <v>0</v>
      </c>
      <c r="I22" s="77">
        <v>190</v>
      </c>
      <c r="J22" s="59">
        <v>323510</v>
      </c>
      <c r="K22" s="59">
        <v>13200</v>
      </c>
      <c r="L22" s="59">
        <v>89411</v>
      </c>
      <c r="M22" s="60">
        <v>0</v>
      </c>
      <c r="O22" s="141">
        <f>SLOPE(J21:J22,I21:I22)</f>
        <v>1594.0983606557377</v>
      </c>
      <c r="P22" s="141">
        <f>INTERCEPT(J21:J22,I21:I22)</f>
        <v>20631.311475409835</v>
      </c>
      <c r="Q22" s="141">
        <f>SLOPE(K21:K22,I21:I22)</f>
        <v>-27.049180327868854</v>
      </c>
      <c r="R22" s="141">
        <f>INTERCEPT(K21:K22,I21:I22)</f>
        <v>18339.344262295082</v>
      </c>
      <c r="S22" s="141">
        <f>SLOPE(L21:L22,I21:I22)</f>
        <v>365.80327868852459</v>
      </c>
      <c r="T22" s="141">
        <f>INTERCEPT(L21:L22,I21:I22)</f>
        <v>19908.37704918033</v>
      </c>
      <c r="U22" s="141">
        <f>SLOPE(M21:M22,I21:I22)</f>
        <v>0</v>
      </c>
      <c r="V22" s="141">
        <f>INTERCEPT(M21:M22,I21:I22)</f>
        <v>0</v>
      </c>
    </row>
    <row r="23" spans="2:22" x14ac:dyDescent="0.25">
      <c r="B23" s="79"/>
      <c r="C23" s="76" t="s">
        <v>282</v>
      </c>
      <c r="D23" s="78">
        <f>D22</f>
        <v>20631.311475409835</v>
      </c>
      <c r="E23" s="78">
        <f>E22</f>
        <v>18339.344262295082</v>
      </c>
      <c r="F23" s="78">
        <f>F22</f>
        <v>19908.37704918033</v>
      </c>
      <c r="G23" s="78">
        <f>G22</f>
        <v>0</v>
      </c>
      <c r="I23" s="78">
        <v>500</v>
      </c>
      <c r="J23" s="61"/>
      <c r="K23" s="61"/>
      <c r="L23" s="61"/>
      <c r="M23" s="61"/>
      <c r="O23" s="141"/>
      <c r="P23" s="141"/>
      <c r="Q23" s="141"/>
      <c r="R23" s="141"/>
      <c r="S23" s="141"/>
      <c r="T23" s="141"/>
      <c r="U23" s="141"/>
      <c r="V23" s="141"/>
    </row>
    <row r="24" spans="2:22" x14ac:dyDescent="0.25">
      <c r="B24" t="s">
        <v>57</v>
      </c>
      <c r="C24" s="75" t="s">
        <v>278</v>
      </c>
      <c r="D24" s="59">
        <v>29400</v>
      </c>
      <c r="E24" s="59">
        <v>1100</v>
      </c>
      <c r="F24" s="59">
        <v>18100</v>
      </c>
      <c r="G24" s="59">
        <v>14400</v>
      </c>
      <c r="I24" s="77">
        <v>7</v>
      </c>
      <c r="J24" s="59">
        <v>29400</v>
      </c>
      <c r="K24" s="59">
        <v>1100</v>
      </c>
      <c r="L24" s="59">
        <v>18100</v>
      </c>
      <c r="M24" s="59">
        <v>14400</v>
      </c>
      <c r="O24" s="141"/>
      <c r="P24" s="141"/>
      <c r="Q24" s="141"/>
      <c r="R24" s="141"/>
      <c r="S24" s="141"/>
      <c r="T24" s="141"/>
      <c r="U24" s="141"/>
      <c r="V24" s="141"/>
    </row>
    <row r="25" spans="2:22" x14ac:dyDescent="0.25">
      <c r="C25" s="75" t="s">
        <v>279</v>
      </c>
      <c r="D25" s="77">
        <f>O25*Heizleistungsbedarf+P25</f>
        <v>16466.666666666664</v>
      </c>
      <c r="E25" s="77">
        <f>Q25*Heizleistungsbedarf+R25</f>
        <v>1100</v>
      </c>
      <c r="F25" s="77">
        <f>S25*Heizleistungsbedarf+T25</f>
        <v>11900</v>
      </c>
      <c r="G25" s="77">
        <f>U25*Heizleistungsbedarf+V25</f>
        <v>4433.3333333333321</v>
      </c>
      <c r="I25" s="77">
        <v>28</v>
      </c>
      <c r="J25" s="59">
        <v>68200</v>
      </c>
      <c r="K25" s="59">
        <v>1100</v>
      </c>
      <c r="L25" s="59">
        <v>36700</v>
      </c>
      <c r="M25" s="59">
        <v>44300</v>
      </c>
      <c r="O25" s="141">
        <f>SLOPE(J24:J25,I24:I25)</f>
        <v>1847.6190476190477</v>
      </c>
      <c r="P25" s="141">
        <f>INTERCEPT(J24:J25,I24:I25)</f>
        <v>16466.666666666664</v>
      </c>
      <c r="Q25" s="141">
        <f>SLOPE(K24:K25,I24:I25)</f>
        <v>0</v>
      </c>
      <c r="R25" s="141">
        <f>INTERCEPT(K24:K25,I24:I25)</f>
        <v>1100</v>
      </c>
      <c r="S25" s="141">
        <f>SLOPE(L24:L25,I24:I25)</f>
        <v>885.71428571428567</v>
      </c>
      <c r="T25" s="141">
        <f>INTERCEPT(L24:L25,I24:I25)</f>
        <v>11900</v>
      </c>
      <c r="U25" s="141">
        <f>SLOPE(M24:M25,I24:I25)</f>
        <v>1423.8095238095239</v>
      </c>
      <c r="V25" s="141">
        <f>INTERCEPT(M24:M25,I24:I25)</f>
        <v>4433.3333333333321</v>
      </c>
    </row>
    <row r="26" spans="2:22" x14ac:dyDescent="0.25">
      <c r="C26" s="75" t="s">
        <v>280</v>
      </c>
      <c r="D26" s="77">
        <f>O26*Heizleistungsbedarf+P26</f>
        <v>37610</v>
      </c>
      <c r="E26" s="77">
        <f>Q26*Heizleistungsbedarf+R26</f>
        <v>680</v>
      </c>
      <c r="F26" s="77">
        <f>S26*Heizleistungsbedarf+T26</f>
        <v>22070</v>
      </c>
      <c r="G26" s="77">
        <f>U26*Heizleistungsbedarf+V26</f>
        <v>9580</v>
      </c>
      <c r="I26" s="77">
        <v>68</v>
      </c>
      <c r="J26" s="59">
        <v>111900</v>
      </c>
      <c r="K26" s="59">
        <v>1700</v>
      </c>
      <c r="L26" s="59">
        <v>57600</v>
      </c>
      <c r="M26" s="59">
        <v>93900</v>
      </c>
      <c r="O26" s="141">
        <f>SLOPE(J25:J26,I25:I26)</f>
        <v>1092.5</v>
      </c>
      <c r="P26" s="141">
        <f>INTERCEPT(J25:J26,I25:I26)</f>
        <v>37610</v>
      </c>
      <c r="Q26" s="141">
        <f>SLOPE(K25:K26,I25:I26)</f>
        <v>15</v>
      </c>
      <c r="R26" s="141">
        <f>INTERCEPT(K25:K26,I25:I26)</f>
        <v>680</v>
      </c>
      <c r="S26" s="141">
        <f>SLOPE(L25:L26,I25:I26)</f>
        <v>522.5</v>
      </c>
      <c r="T26" s="141">
        <f>INTERCEPT(L25:L26,I25:I26)</f>
        <v>22070</v>
      </c>
      <c r="U26" s="141">
        <f>SLOPE(M25:M26,I25:I26)</f>
        <v>1240</v>
      </c>
      <c r="V26" s="141">
        <f>INTERCEPT(M25:M26,I25:I26)</f>
        <v>9580</v>
      </c>
    </row>
    <row r="27" spans="2:22" x14ac:dyDescent="0.25">
      <c r="C27" s="75" t="s">
        <v>281</v>
      </c>
      <c r="D27" s="77">
        <f>O27*Heizleistungsbedarf+P27</f>
        <v>12240.983606557362</v>
      </c>
      <c r="E27" s="77">
        <f>Q27*Heizleistungsbedarf+R27</f>
        <v>1421.311475409836</v>
      </c>
      <c r="F27" s="77">
        <f>S27*Heizleistungsbedarf+T27</f>
        <v>21872.131147540975</v>
      </c>
      <c r="G27" s="77">
        <f>U27*Heizleistungsbedarf+V27</f>
        <v>4385.2459016393695</v>
      </c>
      <c r="I27" s="77">
        <v>190</v>
      </c>
      <c r="J27" s="60">
        <v>290700</v>
      </c>
      <c r="K27" s="60">
        <v>2200</v>
      </c>
      <c r="L27" s="60">
        <v>121700</v>
      </c>
      <c r="M27" s="60">
        <v>254500</v>
      </c>
      <c r="O27" s="141">
        <f>SLOPE(J26:J27,I26:I27)</f>
        <v>1465.5737704918033</v>
      </c>
      <c r="P27" s="141">
        <f>INTERCEPT(J26:J27,I26:I27)</f>
        <v>12240.983606557362</v>
      </c>
      <c r="Q27" s="141">
        <f>SLOPE(K26:K27,I26:I27)</f>
        <v>4.0983606557377046</v>
      </c>
      <c r="R27" s="141">
        <f>INTERCEPT(K26:K27,I26:I27)</f>
        <v>1421.311475409836</v>
      </c>
      <c r="S27" s="141">
        <f>SLOPE(L26:L27,I26:I27)</f>
        <v>525.40983606557381</v>
      </c>
      <c r="T27" s="141">
        <f>INTERCEPT(L26:L27,I26:I27)</f>
        <v>21872.131147540975</v>
      </c>
      <c r="U27" s="141">
        <f>SLOPE(M26:M27,I26:I27)</f>
        <v>1316.3934426229507</v>
      </c>
      <c r="V27" s="141">
        <f>INTERCEPT(M26:M27,I26:I27)</f>
        <v>4385.2459016393695</v>
      </c>
    </row>
    <row r="28" spans="2:22" x14ac:dyDescent="0.25">
      <c r="B28" s="79"/>
      <c r="C28" s="76" t="s">
        <v>282</v>
      </c>
      <c r="D28" s="78">
        <f>O28*Heizleistungsbedarf+P28</f>
        <v>181909.67741935482</v>
      </c>
      <c r="E28" s="78">
        <f>Q28*Heizleistungsbedarf+R28</f>
        <v>177.41935483870975</v>
      </c>
      <c r="F28" s="78">
        <f>S28*Heizleistungsbedarf+T28</f>
        <v>67274.193548387106</v>
      </c>
      <c r="G28" s="78">
        <f>U28*Heizleistungsbedarf+V28</f>
        <v>13629.032258064486</v>
      </c>
      <c r="I28" s="78">
        <v>500</v>
      </c>
      <c r="J28" s="61">
        <v>468200</v>
      </c>
      <c r="K28" s="61">
        <v>5500</v>
      </c>
      <c r="L28" s="61">
        <v>210500</v>
      </c>
      <c r="M28" s="61">
        <v>647500</v>
      </c>
      <c r="O28" s="141">
        <f>SLOPE(J27:J28,I27:I28)</f>
        <v>572.58064516129036</v>
      </c>
      <c r="P28" s="141">
        <f>INTERCEPT(J27:J28,I27:I28)</f>
        <v>181909.67741935482</v>
      </c>
      <c r="Q28" s="141">
        <f>SLOPE(K27:K28,I27:I28)</f>
        <v>10.64516129032258</v>
      </c>
      <c r="R28" s="141">
        <f>INTERCEPT(K27:K28,I27:I28)</f>
        <v>177.41935483870975</v>
      </c>
      <c r="S28" s="141">
        <f>SLOPE(L27:L28,I27:I28)</f>
        <v>286.45161290322579</v>
      </c>
      <c r="T28" s="141">
        <f>INTERCEPT(L27:L28,I27:I28)</f>
        <v>67274.193548387106</v>
      </c>
      <c r="U28" s="141">
        <f>SLOPE(M27:M28,I27:I28)</f>
        <v>1267.741935483871</v>
      </c>
      <c r="V28" s="141">
        <f>INTERCEPT(M27:M28,I27:I28)</f>
        <v>13629.032258064486</v>
      </c>
    </row>
    <row r="29" spans="2:22" x14ac:dyDescent="0.25">
      <c r="B29" t="s">
        <v>58</v>
      </c>
      <c r="C29" s="75" t="s">
        <v>278</v>
      </c>
      <c r="D29" s="62" t="s">
        <v>366</v>
      </c>
      <c r="E29" s="62" t="s">
        <v>366</v>
      </c>
      <c r="F29" s="62" t="s">
        <v>366</v>
      </c>
      <c r="G29" s="85">
        <v>0</v>
      </c>
      <c r="I29" s="77">
        <v>7</v>
      </c>
      <c r="J29" s="137"/>
      <c r="K29" s="137"/>
      <c r="L29" s="137"/>
      <c r="M29" s="60">
        <v>0</v>
      </c>
      <c r="O29" s="141"/>
      <c r="P29" s="141"/>
      <c r="Q29" s="141"/>
      <c r="R29" s="141"/>
      <c r="S29" s="141"/>
      <c r="T29" s="141"/>
      <c r="U29" s="141"/>
      <c r="V29" s="141"/>
    </row>
    <row r="30" spans="2:22" x14ac:dyDescent="0.25">
      <c r="C30" s="75" t="s">
        <v>279</v>
      </c>
      <c r="D30" s="62" t="s">
        <v>366</v>
      </c>
      <c r="E30" s="62" t="s">
        <v>366</v>
      </c>
      <c r="F30" s="62" t="s">
        <v>366</v>
      </c>
      <c r="G30" s="85">
        <v>0</v>
      </c>
      <c r="I30" s="77">
        <v>28</v>
      </c>
      <c r="J30" s="137"/>
      <c r="K30" s="137"/>
      <c r="L30" s="137"/>
      <c r="M30" s="60">
        <v>0</v>
      </c>
      <c r="O30" s="141"/>
      <c r="P30" s="141"/>
      <c r="Q30" s="141"/>
      <c r="R30" s="141"/>
      <c r="S30" s="141"/>
      <c r="T30" s="141"/>
      <c r="U30" s="141"/>
      <c r="V30" s="141"/>
    </row>
    <row r="31" spans="2:22" x14ac:dyDescent="0.25">
      <c r="C31" s="75" t="s">
        <v>280</v>
      </c>
      <c r="D31" s="62" t="s">
        <v>366</v>
      </c>
      <c r="E31" s="62" t="s">
        <v>366</v>
      </c>
      <c r="F31" s="62" t="s">
        <v>366</v>
      </c>
      <c r="G31" s="85">
        <v>0</v>
      </c>
      <c r="I31" s="77">
        <v>68</v>
      </c>
      <c r="J31" s="137"/>
      <c r="K31" s="137"/>
      <c r="L31" s="137"/>
      <c r="M31" s="60">
        <v>0</v>
      </c>
      <c r="O31" s="141"/>
      <c r="P31" s="141"/>
      <c r="Q31" s="141"/>
      <c r="R31" s="141"/>
      <c r="S31" s="141"/>
      <c r="T31" s="141"/>
      <c r="U31" s="141"/>
      <c r="V31" s="141"/>
    </row>
    <row r="32" spans="2:22" x14ac:dyDescent="0.25">
      <c r="C32" s="75" t="s">
        <v>281</v>
      </c>
      <c r="D32" s="62" t="s">
        <v>366</v>
      </c>
      <c r="E32" s="62" t="s">
        <v>366</v>
      </c>
      <c r="F32" s="62" t="s">
        <v>366</v>
      </c>
      <c r="G32" s="85">
        <v>0</v>
      </c>
      <c r="I32" s="77">
        <v>190</v>
      </c>
      <c r="J32" s="138">
        <v>394570</v>
      </c>
      <c r="K32" s="138">
        <v>46200</v>
      </c>
      <c r="L32" s="138">
        <v>104068</v>
      </c>
      <c r="M32" s="60">
        <v>0</v>
      </c>
      <c r="O32" s="141"/>
      <c r="P32" s="141"/>
      <c r="Q32" s="141"/>
      <c r="R32" s="141"/>
      <c r="S32" s="141"/>
      <c r="T32" s="141"/>
      <c r="U32" s="141"/>
      <c r="V32" s="141"/>
    </row>
    <row r="33" spans="2:22" x14ac:dyDescent="0.25">
      <c r="B33" s="79"/>
      <c r="C33" s="76" t="s">
        <v>282</v>
      </c>
      <c r="D33" s="87">
        <f>O33*Heizleistungsbedarf+P33</f>
        <v>271125.16129032255</v>
      </c>
      <c r="E33" s="87">
        <f>Q33*Heizleistungsbedarf+R33</f>
        <v>34064.516129032258</v>
      </c>
      <c r="F33" s="87">
        <f>S33*Heizleistungsbedarf+T33</f>
        <v>80167.838709677424</v>
      </c>
      <c r="G33" s="87">
        <f>U33*Heizleistungsbedarf+V33</f>
        <v>0</v>
      </c>
      <c r="I33" s="78">
        <v>500</v>
      </c>
      <c r="J33" s="139">
        <v>595980</v>
      </c>
      <c r="K33" s="139">
        <v>66000</v>
      </c>
      <c r="L33" s="139">
        <v>143063</v>
      </c>
      <c r="M33" s="61">
        <v>0</v>
      </c>
      <c r="O33" s="141">
        <f>SLOPE(J32:J33,I32:I33)</f>
        <v>649.70967741935488</v>
      </c>
      <c r="P33" s="141">
        <f>INTERCEPT(J32:J33,I32:I33)</f>
        <v>271125.16129032255</v>
      </c>
      <c r="Q33" s="141">
        <f>SLOPE(K32:K33,I32:I33)</f>
        <v>63.87096774193548</v>
      </c>
      <c r="R33" s="141">
        <f>INTERCEPT(K32:K33,I32:I33)</f>
        <v>34064.516129032258</v>
      </c>
      <c r="S33" s="141">
        <f>SLOPE(L32:L33,I32:I33)</f>
        <v>125.79032258064517</v>
      </c>
      <c r="T33" s="141">
        <f>INTERCEPT(L32:L33,I32:I33)</f>
        <v>80167.838709677424</v>
      </c>
      <c r="U33" s="141">
        <f>SLOPE(M32:M33,I32:I33)</f>
        <v>0</v>
      </c>
      <c r="V33" s="141">
        <f>INTERCEPT(M32:M33,I32:I33)</f>
        <v>0</v>
      </c>
    </row>
    <row r="34" spans="2:22" x14ac:dyDescent="0.25">
      <c r="B34" t="s">
        <v>55</v>
      </c>
      <c r="C34" s="75" t="s">
        <v>278</v>
      </c>
      <c r="D34" s="85">
        <f>ROUND(J34,-2)</f>
        <v>35200</v>
      </c>
      <c r="E34" s="85">
        <f>ROUND(K34,-2)</f>
        <v>2200</v>
      </c>
      <c r="F34" s="85">
        <f>ROUND(L34,-2)</f>
        <v>17300</v>
      </c>
      <c r="G34" s="85">
        <f>ROUND(M34,-2)</f>
        <v>0</v>
      </c>
      <c r="I34" s="77">
        <v>7</v>
      </c>
      <c r="J34" s="138">
        <v>35200</v>
      </c>
      <c r="K34" s="138">
        <v>2200</v>
      </c>
      <c r="L34" s="138">
        <v>17326.312791347809</v>
      </c>
      <c r="M34" s="60">
        <v>0</v>
      </c>
      <c r="O34" s="141"/>
      <c r="P34" s="141"/>
      <c r="Q34" s="141"/>
      <c r="R34" s="141"/>
      <c r="S34" s="141"/>
      <c r="T34" s="141"/>
      <c r="U34" s="141"/>
      <c r="V34" s="141"/>
    </row>
    <row r="35" spans="2:22" x14ac:dyDescent="0.25">
      <c r="C35" s="75" t="s">
        <v>279</v>
      </c>
      <c r="D35" s="77">
        <f>O35*Heizleistungsbedarf+P35</f>
        <v>25776.666666666668</v>
      </c>
      <c r="E35" s="77">
        <f>Q35*Heizleistungsbedarf+R35</f>
        <v>2200</v>
      </c>
      <c r="F35" s="77">
        <f>S35*Heizleistungsbedarf+T35</f>
        <v>14246.750388463744</v>
      </c>
      <c r="G35" s="77">
        <f>U35*Heizleistungsbedarf+V35</f>
        <v>0</v>
      </c>
      <c r="I35" s="77">
        <v>28</v>
      </c>
      <c r="J35" s="138">
        <v>63470</v>
      </c>
      <c r="K35" s="138">
        <v>2200</v>
      </c>
      <c r="L35" s="138">
        <v>26565</v>
      </c>
      <c r="M35" s="60">
        <v>0</v>
      </c>
      <c r="O35" s="141">
        <f>SLOPE(J34:J35,I34:I35)</f>
        <v>1346.1904761904761</v>
      </c>
      <c r="P35" s="141">
        <f>INTERCEPT(J34:J35,I34:I35)</f>
        <v>25776.666666666668</v>
      </c>
      <c r="Q35" s="141">
        <f>SLOPE(K34:K35,I34:I35)</f>
        <v>0</v>
      </c>
      <c r="R35" s="141">
        <f>INTERCEPT(K34:K35,I34:I35)</f>
        <v>2200</v>
      </c>
      <c r="S35" s="141">
        <f>SLOPE(L34:L35,I34:I35)</f>
        <v>439.93748612629486</v>
      </c>
      <c r="T35" s="141">
        <f>INTERCEPT(L34:L35,I34:I35)</f>
        <v>14246.750388463744</v>
      </c>
      <c r="U35" s="141">
        <f>SLOPE(M34:M35,I34:I35)</f>
        <v>0</v>
      </c>
      <c r="V35" s="141">
        <f>INTERCEPT(M34:M35,I34:I35)</f>
        <v>0</v>
      </c>
    </row>
    <row r="36" spans="2:22" x14ac:dyDescent="0.25">
      <c r="C36" s="75" t="s">
        <v>280</v>
      </c>
      <c r="D36" s="85">
        <f>O36*Heizleistungsbedarf+P36</f>
        <v>34364</v>
      </c>
      <c r="E36" s="85">
        <f>Q36*Heizleistungsbedarf+R36</f>
        <v>1815</v>
      </c>
      <c r="F36" s="85">
        <f>S36*Heizleistungsbedarf+T36</f>
        <v>18241.300000000003</v>
      </c>
      <c r="G36" s="85">
        <f>U36*Heizleistungsbedarf+V36</f>
        <v>0</v>
      </c>
      <c r="I36" s="77">
        <v>68</v>
      </c>
      <c r="J36" s="138">
        <v>105050</v>
      </c>
      <c r="K36" s="138">
        <v>2750</v>
      </c>
      <c r="L36" s="138">
        <v>38456</v>
      </c>
      <c r="M36" s="60">
        <v>0</v>
      </c>
      <c r="O36" s="141">
        <f>SLOPE(J35:J36,I35:I36)</f>
        <v>1039.5</v>
      </c>
      <c r="P36" s="141">
        <f>INTERCEPT(J35:J36,I35:I36)</f>
        <v>34364</v>
      </c>
      <c r="Q36" s="141">
        <f>SLOPE(K35:K36,I35:I36)</f>
        <v>13.75</v>
      </c>
      <c r="R36" s="141">
        <f>INTERCEPT(K35:K36,I35:I36)</f>
        <v>1815</v>
      </c>
      <c r="S36" s="141">
        <f>SLOPE(L35:L36,I35:I36)</f>
        <v>297.27499999999998</v>
      </c>
      <c r="T36" s="141">
        <f>INTERCEPT(L35:L36,I35:I36)</f>
        <v>18241.300000000003</v>
      </c>
      <c r="U36" s="141">
        <f>SLOPE(M35:M36,I35:I36)</f>
        <v>0</v>
      </c>
      <c r="V36" s="141">
        <f>INTERCEPT(M35:M36,I35:I36)</f>
        <v>0</v>
      </c>
    </row>
    <row r="37" spans="2:22" x14ac:dyDescent="0.25">
      <c r="C37" s="75" t="s">
        <v>281</v>
      </c>
      <c r="D37" s="85">
        <f>O37*Heizleistungsbedarf+P37</f>
        <v>-10951.311475409835</v>
      </c>
      <c r="E37" s="85">
        <f>Q37*Heizleistungsbedarf+R37</f>
        <v>1217.2131147540986</v>
      </c>
      <c r="F37" s="85">
        <f>S37*Heizleistungsbedarf+T37</f>
        <v>11272.721311475412</v>
      </c>
      <c r="G37" s="85">
        <f>U37*Heizleistungsbedarf+V37</f>
        <v>0</v>
      </c>
      <c r="I37" s="77">
        <v>190</v>
      </c>
      <c r="J37" s="138">
        <v>313170</v>
      </c>
      <c r="K37" s="138">
        <v>5500</v>
      </c>
      <c r="L37" s="138">
        <v>87226</v>
      </c>
      <c r="M37" s="60">
        <v>0</v>
      </c>
      <c r="O37" s="141">
        <f>SLOPE(J36:J37,I36:I37)</f>
        <v>1705.9016393442623</v>
      </c>
      <c r="P37" s="141">
        <f>INTERCEPT(J36:J37,I36:I37)</f>
        <v>-10951.311475409835</v>
      </c>
      <c r="Q37" s="141">
        <f>SLOPE(K36:K37,I36:I37)</f>
        <v>22.540983606557376</v>
      </c>
      <c r="R37" s="141">
        <f>INTERCEPT(K36:K37,I36:I37)</f>
        <v>1217.2131147540986</v>
      </c>
      <c r="S37" s="141">
        <f>SLOPE(L36:L37,I36:I37)</f>
        <v>399.75409836065575</v>
      </c>
      <c r="T37" s="141">
        <f>INTERCEPT(L36:L37,I36:I37)</f>
        <v>11272.721311475412</v>
      </c>
      <c r="U37" s="141">
        <f>SLOPE(M36:M37,I36:I37)</f>
        <v>0</v>
      </c>
      <c r="V37" s="141">
        <f>INTERCEPT(M36:M37,I36:I37)</f>
        <v>0</v>
      </c>
    </row>
    <row r="38" spans="2:22" x14ac:dyDescent="0.25">
      <c r="B38" s="79"/>
      <c r="C38" s="76" t="s">
        <v>282</v>
      </c>
      <c r="D38" s="87">
        <f>O38*Heizleistungsbedarf+P38</f>
        <v>142464.19354838709</v>
      </c>
      <c r="E38" s="87">
        <f>Q38*Heizleistungsbedarf+R38</f>
        <v>4151.6129032258068</v>
      </c>
      <c r="F38" s="87">
        <f>S38*Heizleistungsbedarf+T38</f>
        <v>53493.645161290326</v>
      </c>
      <c r="G38" s="87">
        <f>U38*Heizleistungsbedarf+V38</f>
        <v>0</v>
      </c>
      <c r="I38" s="78">
        <v>500</v>
      </c>
      <c r="J38" s="140">
        <v>591690</v>
      </c>
      <c r="K38" s="140">
        <v>7700</v>
      </c>
      <c r="L38" s="140">
        <v>142263</v>
      </c>
      <c r="M38" s="61">
        <v>0</v>
      </c>
      <c r="O38" s="141">
        <f>SLOPE(J37:J38,I37:I38)</f>
        <v>898.45161290322585</v>
      </c>
      <c r="P38" s="141">
        <f>INTERCEPT(J37:J38,I37:I38)</f>
        <v>142464.19354838709</v>
      </c>
      <c r="Q38" s="141">
        <f>SLOPE(K37:K38,I37:I38)</f>
        <v>7.096774193548387</v>
      </c>
      <c r="R38" s="141">
        <f>INTERCEPT(K37:K38,I37:I38)</f>
        <v>4151.6129032258068</v>
      </c>
      <c r="S38" s="141">
        <f>SLOPE(L37:L38,I37:I38)</f>
        <v>177.53870967741935</v>
      </c>
      <c r="T38" s="141">
        <f>INTERCEPT(L37:L38,I37:I38)</f>
        <v>53493.645161290326</v>
      </c>
      <c r="U38" s="141">
        <f>SLOPE(M37:M38,I37:I38)</f>
        <v>0</v>
      </c>
      <c r="V38" s="141">
        <f>INTERCEPT(M37:M38,I37:I38)</f>
        <v>0</v>
      </c>
    </row>
    <row r="39" spans="2:22" x14ac:dyDescent="0.25">
      <c r="B39" t="s">
        <v>56</v>
      </c>
      <c r="C39" s="75" t="s">
        <v>278</v>
      </c>
      <c r="D39" s="62" t="s">
        <v>366</v>
      </c>
      <c r="E39" s="62" t="s">
        <v>366</v>
      </c>
      <c r="F39" s="62" t="s">
        <v>366</v>
      </c>
      <c r="G39" s="85">
        <v>0</v>
      </c>
      <c r="I39" s="77">
        <v>7</v>
      </c>
      <c r="J39" s="138"/>
      <c r="K39" s="138"/>
      <c r="L39" s="138"/>
      <c r="M39" s="60">
        <v>0</v>
      </c>
      <c r="O39" s="141"/>
      <c r="P39" s="141"/>
      <c r="Q39" s="141"/>
      <c r="R39" s="141"/>
      <c r="S39" s="141"/>
      <c r="T39" s="141"/>
      <c r="U39" s="141"/>
      <c r="V39" s="141"/>
    </row>
    <row r="40" spans="2:22" x14ac:dyDescent="0.25">
      <c r="C40" s="75" t="s">
        <v>279</v>
      </c>
      <c r="D40" s="62" t="s">
        <v>366</v>
      </c>
      <c r="E40" s="62" t="s">
        <v>366</v>
      </c>
      <c r="F40" s="62" t="s">
        <v>366</v>
      </c>
      <c r="G40" s="85">
        <v>0</v>
      </c>
      <c r="I40" s="77">
        <v>28</v>
      </c>
      <c r="J40" s="138">
        <v>63470</v>
      </c>
      <c r="K40" s="138">
        <v>2200</v>
      </c>
      <c r="L40" s="138">
        <v>26565</v>
      </c>
      <c r="M40" s="60">
        <v>0</v>
      </c>
      <c r="O40" s="141"/>
      <c r="P40" s="141"/>
      <c r="Q40" s="141"/>
      <c r="R40" s="141"/>
      <c r="S40" s="141"/>
      <c r="T40" s="141"/>
      <c r="U40" s="141"/>
      <c r="V40" s="141"/>
    </row>
    <row r="41" spans="2:22" x14ac:dyDescent="0.25">
      <c r="C41" s="75" t="s">
        <v>280</v>
      </c>
      <c r="D41" s="77">
        <f>O41*Heizleistungsbedarf+P41</f>
        <v>26664</v>
      </c>
      <c r="E41" s="77">
        <f>Q41*Heizleistungsbedarf+R41</f>
        <v>1045</v>
      </c>
      <c r="F41" s="77">
        <f>S41*Heizleistungsbedarf+T41</f>
        <v>16183.300000000003</v>
      </c>
      <c r="G41" s="77">
        <f>U41*Heizleistungsbedarf+V41</f>
        <v>0</v>
      </c>
      <c r="I41" s="77">
        <v>68</v>
      </c>
      <c r="J41" s="138">
        <v>116050</v>
      </c>
      <c r="K41" s="138">
        <v>3850</v>
      </c>
      <c r="L41" s="138">
        <v>41396</v>
      </c>
      <c r="M41" s="60">
        <v>0</v>
      </c>
      <c r="O41" s="141">
        <f>SLOPE(J40:J41,I40:I41)</f>
        <v>1314.5</v>
      </c>
      <c r="P41" s="141">
        <f>INTERCEPT(J40:J41,I40:I41)</f>
        <v>26664</v>
      </c>
      <c r="Q41" s="141">
        <f>SLOPE(K40:K41,I40:I41)</f>
        <v>41.25</v>
      </c>
      <c r="R41" s="141">
        <f>INTERCEPT(K40:K41,I40:I41)</f>
        <v>1045</v>
      </c>
      <c r="S41" s="141">
        <f>SLOPE(L40:L41,I40:I41)</f>
        <v>370.77499999999998</v>
      </c>
      <c r="T41" s="141">
        <f>INTERCEPT(L40:L41,I40:I41)</f>
        <v>16183.300000000003</v>
      </c>
      <c r="U41" s="141">
        <f>SLOPE(M40:M41,I40:I41)</f>
        <v>0</v>
      </c>
      <c r="V41" s="141">
        <f>INTERCEPT(M40:M41,I40:I41)</f>
        <v>0</v>
      </c>
    </row>
    <row r="42" spans="2:22" x14ac:dyDescent="0.25">
      <c r="C42" s="75" t="s">
        <v>281</v>
      </c>
      <c r="D42" s="85">
        <f>O42*Heizleistungsbedarf+P42</f>
        <v>-51452.950819672144</v>
      </c>
      <c r="E42" s="85">
        <f>Q42*Heizleistungsbedarf+R42</f>
        <v>2930.3278688524588</v>
      </c>
      <c r="F42" s="85">
        <f>S42*Heizleistungsbedarf+T42</f>
        <v>3997.6721311475412</v>
      </c>
      <c r="G42" s="85">
        <f>U42*Heizleistungsbedarf+V42</f>
        <v>0</v>
      </c>
      <c r="I42" s="77">
        <v>190</v>
      </c>
      <c r="J42" s="138">
        <v>416570</v>
      </c>
      <c r="K42" s="138">
        <v>5500</v>
      </c>
      <c r="L42" s="138">
        <v>108493</v>
      </c>
      <c r="M42" s="60">
        <v>0</v>
      </c>
      <c r="O42" s="141">
        <f>SLOPE(J41:J42,I41:I42)</f>
        <v>2463.2786885245901</v>
      </c>
      <c r="P42" s="141">
        <f>INTERCEPT(J41:J42,I41:I42)</f>
        <v>-51452.950819672144</v>
      </c>
      <c r="Q42" s="141">
        <f>SLOPE(K41:K42,I41:I42)</f>
        <v>13.524590163934427</v>
      </c>
      <c r="R42" s="141">
        <f>INTERCEPT(K41:K42,I41:I42)</f>
        <v>2930.3278688524588</v>
      </c>
      <c r="S42" s="141">
        <f>SLOPE(L41:L42,I41:I42)</f>
        <v>549.97540983606552</v>
      </c>
      <c r="T42" s="141">
        <f>INTERCEPT(L41:L42,I41:I42)</f>
        <v>3997.6721311475412</v>
      </c>
      <c r="U42" s="141">
        <f>SLOPE(M41:M42,I41:I42)</f>
        <v>0</v>
      </c>
      <c r="V42" s="141">
        <f>INTERCEPT(M41:M42,I41:I42)</f>
        <v>0</v>
      </c>
    </row>
    <row r="43" spans="2:22" x14ac:dyDescent="0.25">
      <c r="B43" s="79"/>
      <c r="C43" s="76" t="s">
        <v>282</v>
      </c>
      <c r="D43" s="87">
        <f>O43*Heizleistungsbedarf+P43</f>
        <v>164286.77419354842</v>
      </c>
      <c r="E43" s="87">
        <f>Q43*Heizleistungsbedarf+R43</f>
        <v>4151.6129032258068</v>
      </c>
      <c r="F43" s="87">
        <f>S43*Heizleistungsbedarf+T43</f>
        <v>61621.838709677424</v>
      </c>
      <c r="G43" s="87">
        <f>U43*Heizleistungsbedarf+V43</f>
        <v>0</v>
      </c>
      <c r="I43" s="78">
        <v>500</v>
      </c>
      <c r="J43" s="140">
        <v>828190</v>
      </c>
      <c r="K43" s="140">
        <v>7700</v>
      </c>
      <c r="L43" s="140">
        <v>184967</v>
      </c>
      <c r="M43" s="61">
        <v>0</v>
      </c>
      <c r="O43" s="141">
        <f>SLOPE(J42:J43,I42:I43)</f>
        <v>1327.8064516129032</v>
      </c>
      <c r="P43" s="141">
        <f>INTERCEPT(J42:J43,I42:I43)</f>
        <v>164286.77419354842</v>
      </c>
      <c r="Q43" s="141">
        <f>SLOPE(K42:K43,I42:I43)</f>
        <v>7.096774193548387</v>
      </c>
      <c r="R43" s="141">
        <f>INTERCEPT(K42:K43,I42:I43)</f>
        <v>4151.6129032258068</v>
      </c>
      <c r="S43" s="141">
        <f>SLOPE(L42:L43,I42:I43)</f>
        <v>246.69032258064516</v>
      </c>
      <c r="T43" s="141">
        <f>INTERCEPT(L42:L43,I42:I43)</f>
        <v>61621.838709677424</v>
      </c>
      <c r="U43" s="141">
        <f>SLOPE(M42:M43,I42:I43)</f>
        <v>0</v>
      </c>
      <c r="V43" s="141">
        <f>INTERCEPT(M42:M43,I42:I43)</f>
        <v>0</v>
      </c>
    </row>
    <row r="44" spans="2:22" x14ac:dyDescent="0.25">
      <c r="B44" t="s">
        <v>29</v>
      </c>
      <c r="C44" s="75" t="s">
        <v>278</v>
      </c>
      <c r="D44" s="85">
        <f>ROUND(J44,-2)</f>
        <v>36000</v>
      </c>
      <c r="E44" s="85">
        <f>ROUND(K44,-1)</f>
        <v>550</v>
      </c>
      <c r="F44" s="85">
        <f>ROUND(L44,-2)</f>
        <v>11000</v>
      </c>
      <c r="G44" s="85">
        <f>ROUND(M44,-2)</f>
        <v>0</v>
      </c>
      <c r="I44" s="77">
        <v>7</v>
      </c>
      <c r="J44" s="59">
        <v>35970</v>
      </c>
      <c r="K44" s="59">
        <v>550</v>
      </c>
      <c r="L44" s="59">
        <v>10999</v>
      </c>
      <c r="M44" s="59">
        <v>0</v>
      </c>
      <c r="O44" s="141"/>
      <c r="P44" s="141"/>
      <c r="Q44" s="141"/>
      <c r="R44" s="141"/>
      <c r="S44" s="141"/>
      <c r="T44" s="141"/>
      <c r="U44" s="141"/>
      <c r="V44" s="141"/>
    </row>
    <row r="45" spans="2:22" x14ac:dyDescent="0.25">
      <c r="C45" s="75" t="s">
        <v>279</v>
      </c>
      <c r="D45" s="85">
        <f>O45*Heizleistungsbedarf+P45</f>
        <v>33623.333333333336</v>
      </c>
      <c r="E45" s="85">
        <f>Q45*Heizleistungsbedarf+R45</f>
        <v>550</v>
      </c>
      <c r="F45" s="85">
        <f>S45*Heizleistungsbedarf+T45</f>
        <v>10494</v>
      </c>
      <c r="G45" s="85">
        <f>U45*Heizleistungsbedarf+V45</f>
        <v>0</v>
      </c>
      <c r="I45" s="77">
        <v>28</v>
      </c>
      <c r="J45" s="59">
        <v>43010</v>
      </c>
      <c r="K45" s="59">
        <v>550</v>
      </c>
      <c r="L45" s="59">
        <v>12514</v>
      </c>
      <c r="M45" s="59">
        <v>0</v>
      </c>
      <c r="O45" s="141">
        <f>SLOPE(J44:J45,I44:I45)</f>
        <v>335.23809523809524</v>
      </c>
      <c r="P45" s="141">
        <f>INTERCEPT(J44:J45,I44:I45)</f>
        <v>33623.333333333336</v>
      </c>
      <c r="Q45" s="141">
        <f>SLOPE(K44:K45,I44:I45)</f>
        <v>0</v>
      </c>
      <c r="R45" s="141">
        <f>INTERCEPT(K44:K45,I44:I45)</f>
        <v>550</v>
      </c>
      <c r="S45" s="141">
        <f>SLOPE(L44:L45,I44:I45)</f>
        <v>72.142857142857139</v>
      </c>
      <c r="T45" s="141">
        <f>INTERCEPT(L44:L45,I44:I45)</f>
        <v>10494</v>
      </c>
      <c r="U45" s="141">
        <f>SLOPE(M44:M45,I44:I45)</f>
        <v>0</v>
      </c>
      <c r="V45" s="141">
        <f>INTERCEPT(M44:M45,I44:I45)</f>
        <v>0</v>
      </c>
    </row>
    <row r="46" spans="2:22" x14ac:dyDescent="0.25">
      <c r="C46" s="75" t="s">
        <v>280</v>
      </c>
      <c r="D46" s="85">
        <f>O46*Heizleistungsbedarf+P46</f>
        <v>21527</v>
      </c>
      <c r="E46" s="85">
        <f>Q46*Heizleistungsbedarf+R46</f>
        <v>319</v>
      </c>
      <c r="F46" s="85">
        <f>S46*Heizleistungsbedarf+T46</f>
        <v>8310.5</v>
      </c>
      <c r="G46" s="85">
        <f>U46*Heizleistungsbedarf+V46</f>
        <v>0</v>
      </c>
      <c r="I46" s="77">
        <v>68</v>
      </c>
      <c r="J46" s="59">
        <v>73700</v>
      </c>
      <c r="K46" s="59">
        <v>880</v>
      </c>
      <c r="L46" s="59">
        <v>18519</v>
      </c>
      <c r="M46" s="59">
        <v>0</v>
      </c>
      <c r="O46" s="141">
        <f>SLOPE(J45:J46,I45:I46)</f>
        <v>767.25</v>
      </c>
      <c r="P46" s="141">
        <f>INTERCEPT(J45:J46,I45:I46)</f>
        <v>21527</v>
      </c>
      <c r="Q46" s="141">
        <f>SLOPE(K45:K46,I45:I46)</f>
        <v>8.25</v>
      </c>
      <c r="R46" s="141">
        <f>INTERCEPT(K45:K46,I45:I46)</f>
        <v>319</v>
      </c>
      <c r="S46" s="141">
        <f>SLOPE(L45:L46,I45:I46)</f>
        <v>150.125</v>
      </c>
      <c r="T46" s="141">
        <f>INTERCEPT(L45:L46,I45:I46)</f>
        <v>8310.5</v>
      </c>
      <c r="U46" s="141">
        <f>SLOPE(M45:M46,I45:I46)</f>
        <v>0</v>
      </c>
      <c r="V46" s="141">
        <f>INTERCEPT(M45:M46,I45:I46)</f>
        <v>0</v>
      </c>
    </row>
    <row r="47" spans="2:22" x14ac:dyDescent="0.25">
      <c r="C47" s="75" t="s">
        <v>281</v>
      </c>
      <c r="D47" s="85">
        <f>O47*Heizleistungsbedarf+P47</f>
        <v>47703.934426229513</v>
      </c>
      <c r="E47" s="85">
        <f>Q47*Heizleistungsbedarf+R47</f>
        <v>757.37704918032784</v>
      </c>
      <c r="F47" s="85">
        <f>S47*Heizleistungsbedarf+T47</f>
        <v>14027.098360655737</v>
      </c>
      <c r="G47" s="85">
        <f>U47*Heizleistungsbedarf+V47</f>
        <v>0</v>
      </c>
      <c r="I47" s="77">
        <v>190</v>
      </c>
      <c r="J47" s="60">
        <v>120340</v>
      </c>
      <c r="K47" s="60">
        <v>1100</v>
      </c>
      <c r="L47" s="60">
        <v>26578</v>
      </c>
      <c r="M47" s="60">
        <v>0</v>
      </c>
      <c r="O47" s="141">
        <f>SLOPE(J46:J47,I46:I47)</f>
        <v>382.29508196721309</v>
      </c>
      <c r="P47" s="141">
        <f>INTERCEPT(J46:J47,I46:I47)</f>
        <v>47703.934426229513</v>
      </c>
      <c r="Q47" s="141">
        <f>SLOPE(K46:K47,I46:I47)</f>
        <v>1.8032786885245902</v>
      </c>
      <c r="R47" s="141">
        <f>INTERCEPT(K46:K47,I46:I47)</f>
        <v>757.37704918032784</v>
      </c>
      <c r="S47" s="141">
        <f>SLOPE(L46:L47,I46:I47)</f>
        <v>66.057377049180332</v>
      </c>
      <c r="T47" s="141">
        <f>INTERCEPT(L46:L47,I46:I47)</f>
        <v>14027.098360655737</v>
      </c>
      <c r="U47" s="141">
        <f>SLOPE(M46:M47,I46:I47)</f>
        <v>0</v>
      </c>
      <c r="V47" s="141">
        <f>INTERCEPT(M46:M47,I46:I47)</f>
        <v>0</v>
      </c>
    </row>
    <row r="48" spans="2:22" x14ac:dyDescent="0.25">
      <c r="B48" s="79"/>
      <c r="C48" s="76" t="s">
        <v>282</v>
      </c>
      <c r="D48" s="87">
        <f>O48*Heizleistungsbedarf+P48</f>
        <v>37279.354838709667</v>
      </c>
      <c r="E48" s="87">
        <f>Q48*Heizleistungsbedarf+R48</f>
        <v>-585.48387096774195</v>
      </c>
      <c r="F48" s="87">
        <f>S48*Heizleistungsbedarf+T48</f>
        <v>14207.774193548386</v>
      </c>
      <c r="G48" s="87">
        <f>U48*Heizleistungsbedarf+V48</f>
        <v>0</v>
      </c>
      <c r="I48" s="78">
        <v>500</v>
      </c>
      <c r="J48" s="61">
        <v>255860</v>
      </c>
      <c r="K48" s="61">
        <v>3850</v>
      </c>
      <c r="L48" s="61">
        <v>46761</v>
      </c>
      <c r="M48" s="61">
        <v>0</v>
      </c>
      <c r="O48" s="141">
        <f>SLOPE(J47:J48,I47:I48)</f>
        <v>437.16129032258067</v>
      </c>
      <c r="P48" s="141">
        <f>INTERCEPT(J47:J48,I47:I48)</f>
        <v>37279.354838709667</v>
      </c>
      <c r="Q48" s="141">
        <f>SLOPE(K47:K48,I47:I48)</f>
        <v>8.870967741935484</v>
      </c>
      <c r="R48" s="141">
        <f>INTERCEPT(K47:K48,I47:I48)</f>
        <v>-585.48387096774195</v>
      </c>
      <c r="S48" s="141">
        <f>SLOPE(L47:L48,I47:I48)</f>
        <v>65.106451612903228</v>
      </c>
      <c r="T48" s="141">
        <f>INTERCEPT(L47:L48,I47:I48)</f>
        <v>14207.774193548386</v>
      </c>
      <c r="U48" s="141">
        <f>SLOPE(M47:M48,I47:I48)</f>
        <v>0</v>
      </c>
      <c r="V48" s="141">
        <f>INTERCEPT(M47:M48,I47:I48)</f>
        <v>0</v>
      </c>
    </row>
    <row r="49" spans="2:22" x14ac:dyDescent="0.25">
      <c r="B49" s="82" t="s">
        <v>59</v>
      </c>
      <c r="C49" s="75" t="s">
        <v>278</v>
      </c>
      <c r="D49" s="85">
        <f>ROUND(J49,-2)</f>
        <v>26400</v>
      </c>
      <c r="E49" s="85">
        <f>ROUND(K49,-1)</f>
        <v>550</v>
      </c>
      <c r="F49" s="85">
        <f>ROUND(L49,-2)</f>
        <v>8800</v>
      </c>
      <c r="G49" s="85">
        <f>ROUND(M49,-2)</f>
        <v>0</v>
      </c>
      <c r="I49" s="77">
        <v>7</v>
      </c>
      <c r="J49" s="59">
        <v>26400</v>
      </c>
      <c r="K49" s="77">
        <v>550</v>
      </c>
      <c r="L49" s="77">
        <v>8808</v>
      </c>
      <c r="M49" s="77">
        <v>0</v>
      </c>
      <c r="O49" s="141"/>
      <c r="P49" s="141"/>
      <c r="Q49" s="141"/>
      <c r="R49" s="141"/>
      <c r="S49" s="141"/>
      <c r="T49" s="141"/>
      <c r="U49" s="141"/>
      <c r="V49" s="141"/>
    </row>
    <row r="50" spans="2:22" x14ac:dyDescent="0.25">
      <c r="C50" s="75" t="s">
        <v>279</v>
      </c>
      <c r="D50" s="77">
        <f>O50*Heizleistungsbedarf+P50</f>
        <v>24970</v>
      </c>
      <c r="E50" s="77">
        <f>Q50*Heizleistungsbedarf+R50</f>
        <v>550</v>
      </c>
      <c r="F50" s="77">
        <f>S50*Heizleistungsbedarf+T50</f>
        <v>8473.3333333333339</v>
      </c>
      <c r="G50" s="77">
        <f>U50*Heizleistungsbedarf+V50</f>
        <v>0</v>
      </c>
      <c r="I50" s="77">
        <v>28</v>
      </c>
      <c r="J50" s="59">
        <v>30690</v>
      </c>
      <c r="K50" s="77">
        <v>550</v>
      </c>
      <c r="L50" s="77">
        <v>9812</v>
      </c>
      <c r="M50" s="77">
        <v>0</v>
      </c>
      <c r="O50" s="141">
        <f>SLOPE(J49:J50,I49:I50)</f>
        <v>204.28571428571428</v>
      </c>
      <c r="P50" s="141">
        <f>INTERCEPT(J49:J50,I49:I50)</f>
        <v>24970</v>
      </c>
      <c r="Q50" s="141">
        <f>SLOPE(K49:K50,I49:I50)</f>
        <v>0</v>
      </c>
      <c r="R50" s="141">
        <f>INTERCEPT(K49:K50,I49:I50)</f>
        <v>550</v>
      </c>
      <c r="S50" s="141">
        <f>SLOPE(L49:L50,I49:I50)</f>
        <v>47.80952380952381</v>
      </c>
      <c r="T50" s="141">
        <f>INTERCEPT(L49:L50,I49:I50)</f>
        <v>8473.3333333333339</v>
      </c>
      <c r="U50" s="141">
        <f>SLOPE(M49:M50,I49:I50)</f>
        <v>0</v>
      </c>
      <c r="V50" s="141">
        <f>INTERCEPT(M49:M50,I49:I50)</f>
        <v>0</v>
      </c>
    </row>
    <row r="51" spans="2:22" x14ac:dyDescent="0.25">
      <c r="C51" s="75" t="s">
        <v>280</v>
      </c>
      <c r="D51" s="77">
        <f>O51*Heizleistungsbedarf+P51</f>
        <v>14674</v>
      </c>
      <c r="E51" s="77">
        <f>Q51*Heizleistungsbedarf+R51</f>
        <v>319</v>
      </c>
      <c r="F51" s="77">
        <f>S51*Heizleistungsbedarf+T51</f>
        <v>6408.6</v>
      </c>
      <c r="G51" s="77">
        <f>U51*Heizleistungsbedarf+V51</f>
        <v>0</v>
      </c>
      <c r="I51" s="77">
        <v>68</v>
      </c>
      <c r="J51" s="59">
        <v>53570</v>
      </c>
      <c r="K51" s="77">
        <v>880</v>
      </c>
      <c r="L51" s="77">
        <v>14674</v>
      </c>
      <c r="M51" s="77">
        <v>0</v>
      </c>
      <c r="O51" s="141">
        <f>SLOPE(J50:J51,I50:I51)</f>
        <v>572</v>
      </c>
      <c r="P51" s="141">
        <f>INTERCEPT(J50:J51,I50:I51)</f>
        <v>14674</v>
      </c>
      <c r="Q51" s="141">
        <f>SLOPE(K50:K51,I50:I51)</f>
        <v>8.25</v>
      </c>
      <c r="R51" s="141">
        <f>INTERCEPT(K50:K51,I50:I51)</f>
        <v>319</v>
      </c>
      <c r="S51" s="141">
        <f>SLOPE(L50:L51,I50:I51)</f>
        <v>121.55</v>
      </c>
      <c r="T51" s="141">
        <f>INTERCEPT(L50:L51,I50:I51)</f>
        <v>6408.6</v>
      </c>
      <c r="U51" s="141">
        <f>SLOPE(M50:M51,I50:I51)</f>
        <v>0</v>
      </c>
      <c r="V51" s="141">
        <f>INTERCEPT(M50:M51,I50:I51)</f>
        <v>0</v>
      </c>
    </row>
    <row r="52" spans="2:22" x14ac:dyDescent="0.25">
      <c r="C52" s="75" t="s">
        <v>281</v>
      </c>
      <c r="D52" s="77">
        <f>O52*Heizleistungsbedarf+P52</f>
        <v>22485.081967213118</v>
      </c>
      <c r="E52" s="77">
        <f>Q52*Heizleistungsbedarf+R52</f>
        <v>757.37704918032784</v>
      </c>
      <c r="F52" s="77">
        <f>S52*Heizleistungsbedarf+T52</f>
        <v>9053.9672131147545</v>
      </c>
      <c r="G52" s="77">
        <f>U52*Heizleistungsbedarf+V52</f>
        <v>0</v>
      </c>
      <c r="I52" s="77">
        <v>190</v>
      </c>
      <c r="J52" s="60">
        <v>109340</v>
      </c>
      <c r="K52" s="77">
        <v>1100</v>
      </c>
      <c r="L52" s="77">
        <v>24757</v>
      </c>
      <c r="M52" s="77">
        <v>0</v>
      </c>
      <c r="O52" s="141">
        <f>SLOPE(J51:J52,I51:I52)</f>
        <v>457.13114754098359</v>
      </c>
      <c r="P52" s="141">
        <f>INTERCEPT(J51:J52,I51:I52)</f>
        <v>22485.081967213118</v>
      </c>
      <c r="Q52" s="141">
        <f>SLOPE(K51:K52,I51:I52)</f>
        <v>1.8032786885245902</v>
      </c>
      <c r="R52" s="141">
        <f>INTERCEPT(K51:K52,I51:I52)</f>
        <v>757.37704918032784</v>
      </c>
      <c r="S52" s="141">
        <f>SLOPE(L51:L52,I51:I52)</f>
        <v>82.647540983606561</v>
      </c>
      <c r="T52" s="141">
        <f>INTERCEPT(L51:L52,I51:I52)</f>
        <v>9053.9672131147545</v>
      </c>
      <c r="U52" s="141">
        <f>SLOPE(M51:M52,I51:I52)</f>
        <v>0</v>
      </c>
      <c r="V52" s="141">
        <f>INTERCEPT(M51:M52,I51:I52)</f>
        <v>0</v>
      </c>
    </row>
    <row r="53" spans="2:22" x14ac:dyDescent="0.25">
      <c r="B53" s="79"/>
      <c r="C53" s="76" t="s">
        <v>282</v>
      </c>
      <c r="D53" s="78">
        <f>O53*Heizleistungsbedarf+P53</f>
        <v>44280.322580645152</v>
      </c>
      <c r="E53" s="78">
        <f>Q53*Heizleistungsbedarf+R53</f>
        <v>-585.48387096774195</v>
      </c>
      <c r="F53" s="78">
        <f>S53*Heizleistungsbedarf+T53</f>
        <v>14755.645161290322</v>
      </c>
      <c r="G53" s="78">
        <f>U53*Heizleistungsbedarf+V53</f>
        <v>0</v>
      </c>
      <c r="I53" s="78">
        <v>500</v>
      </c>
      <c r="J53" s="61">
        <v>215490</v>
      </c>
      <c r="K53" s="78">
        <v>3850</v>
      </c>
      <c r="L53" s="78">
        <v>41075</v>
      </c>
      <c r="M53" s="78">
        <v>0</v>
      </c>
      <c r="O53" s="141">
        <f>SLOPE(J52:J53,I52:I53)</f>
        <v>342.41935483870969</v>
      </c>
      <c r="P53" s="141">
        <f>INTERCEPT(J52:J53,I52:I53)</f>
        <v>44280.322580645152</v>
      </c>
      <c r="Q53" s="141">
        <f>SLOPE(K52:K53,I52:I53)</f>
        <v>8.870967741935484</v>
      </c>
      <c r="R53" s="141">
        <f>INTERCEPT(K52:K53,I52:I53)</f>
        <v>-585.48387096774195</v>
      </c>
      <c r="S53" s="141">
        <f>SLOPE(L52:L53,I52:I53)</f>
        <v>52.638709677419357</v>
      </c>
      <c r="T53" s="141">
        <f>INTERCEPT(L52:L53,I52:I53)</f>
        <v>14755.645161290322</v>
      </c>
      <c r="U53" s="141">
        <f>SLOPE(M52:M53,I52:I53)</f>
        <v>0</v>
      </c>
      <c r="V53" s="141">
        <f>INTERCEPT(M52:M53,I52:I53)</f>
        <v>0</v>
      </c>
    </row>
    <row r="54" spans="2:22" x14ac:dyDescent="0.25">
      <c r="B54" t="s">
        <v>60</v>
      </c>
      <c r="C54" s="75" t="s">
        <v>278</v>
      </c>
      <c r="D54" s="62" t="s">
        <v>366</v>
      </c>
      <c r="E54" s="62" t="s">
        <v>366</v>
      </c>
      <c r="F54" s="62" t="s">
        <v>366</v>
      </c>
      <c r="G54" s="62" t="s">
        <v>366</v>
      </c>
      <c r="I54" s="77">
        <v>7</v>
      </c>
      <c r="J54" s="77"/>
      <c r="K54" s="77"/>
      <c r="L54" s="77"/>
      <c r="M54" s="77"/>
      <c r="O54" s="141"/>
      <c r="P54" s="141"/>
      <c r="Q54" s="141"/>
      <c r="R54" s="141"/>
      <c r="S54" s="141"/>
      <c r="T54" s="141"/>
      <c r="U54" s="141"/>
      <c r="V54" s="141"/>
    </row>
    <row r="55" spans="2:22" x14ac:dyDescent="0.25">
      <c r="C55" s="75" t="s">
        <v>279</v>
      </c>
      <c r="D55" s="62" t="s">
        <v>366</v>
      </c>
      <c r="E55" s="62" t="s">
        <v>366</v>
      </c>
      <c r="F55" s="62" t="s">
        <v>366</v>
      </c>
      <c r="G55" s="62" t="s">
        <v>366</v>
      </c>
      <c r="I55" s="77">
        <v>28</v>
      </c>
      <c r="J55" s="77"/>
      <c r="K55" s="77"/>
      <c r="L55" s="77"/>
      <c r="M55" s="77"/>
      <c r="O55" s="141"/>
      <c r="P55" s="141"/>
      <c r="Q55" s="141"/>
      <c r="R55" s="141"/>
      <c r="S55" s="141"/>
      <c r="T55" s="141"/>
      <c r="U55" s="141"/>
      <c r="V55" s="141"/>
    </row>
    <row r="56" spans="2:22" x14ac:dyDescent="0.25">
      <c r="C56" s="75" t="s">
        <v>280</v>
      </c>
      <c r="D56" s="62" t="s">
        <v>366</v>
      </c>
      <c r="E56" s="62" t="s">
        <v>366</v>
      </c>
      <c r="F56" s="62" t="s">
        <v>366</v>
      </c>
      <c r="G56" s="62" t="s">
        <v>366</v>
      </c>
      <c r="I56" s="77">
        <v>68</v>
      </c>
      <c r="J56" s="77"/>
      <c r="K56" s="77"/>
      <c r="L56" s="77"/>
      <c r="M56" s="77"/>
      <c r="O56" s="141"/>
      <c r="P56" s="141"/>
      <c r="Q56" s="141"/>
      <c r="R56" s="141"/>
      <c r="S56" s="141"/>
      <c r="T56" s="141"/>
      <c r="U56" s="141"/>
      <c r="V56" s="141"/>
    </row>
    <row r="57" spans="2:22" x14ac:dyDescent="0.25">
      <c r="C57" s="75" t="s">
        <v>281</v>
      </c>
      <c r="D57" s="62" t="s">
        <v>366</v>
      </c>
      <c r="E57" s="62" t="s">
        <v>366</v>
      </c>
      <c r="F57" s="62" t="s">
        <v>366</v>
      </c>
      <c r="G57" s="62" t="s">
        <v>366</v>
      </c>
      <c r="I57" s="77">
        <v>190</v>
      </c>
      <c r="J57" s="77"/>
      <c r="K57" s="77"/>
      <c r="L57" s="77"/>
      <c r="M57" s="77"/>
      <c r="O57" s="141"/>
      <c r="P57" s="141"/>
      <c r="Q57" s="141"/>
      <c r="R57" s="141"/>
      <c r="S57" s="141"/>
      <c r="T57" s="141"/>
      <c r="U57" s="141"/>
      <c r="V57" s="141"/>
    </row>
    <row r="58" spans="2:22" x14ac:dyDescent="0.25">
      <c r="B58" s="79"/>
      <c r="C58" s="76" t="s">
        <v>282</v>
      </c>
      <c r="D58" s="63" t="s">
        <v>366</v>
      </c>
      <c r="E58" s="63" t="s">
        <v>366</v>
      </c>
      <c r="F58" s="63" t="s">
        <v>366</v>
      </c>
      <c r="G58" s="63" t="s">
        <v>366</v>
      </c>
      <c r="I58" s="78">
        <v>500</v>
      </c>
      <c r="J58" s="78"/>
      <c r="K58" s="78"/>
      <c r="L58" s="78"/>
      <c r="M58" s="78"/>
      <c r="O58" s="141"/>
      <c r="P58" s="141"/>
      <c r="Q58" s="141"/>
      <c r="R58" s="141"/>
      <c r="S58" s="141"/>
      <c r="T58" s="141"/>
      <c r="U58" s="141"/>
      <c r="V58" s="141"/>
    </row>
    <row r="59" spans="2:22" x14ac:dyDescent="0.25">
      <c r="B59" t="s">
        <v>61</v>
      </c>
      <c r="C59" s="75" t="s">
        <v>278</v>
      </c>
      <c r="D59" s="62" t="s">
        <v>366</v>
      </c>
      <c r="E59" s="62" t="s">
        <v>366</v>
      </c>
      <c r="F59" s="62" t="s">
        <v>366</v>
      </c>
      <c r="G59" s="62" t="s">
        <v>366</v>
      </c>
      <c r="I59" s="77">
        <v>7</v>
      </c>
      <c r="J59" s="77"/>
      <c r="K59" s="77"/>
      <c r="L59" s="77"/>
      <c r="M59" s="77"/>
      <c r="O59" s="141"/>
      <c r="P59" s="141"/>
      <c r="Q59" s="141"/>
      <c r="R59" s="141"/>
      <c r="S59" s="141"/>
      <c r="T59" s="141"/>
      <c r="U59" s="141"/>
      <c r="V59" s="141"/>
    </row>
    <row r="60" spans="2:22" x14ac:dyDescent="0.25">
      <c r="C60" s="75" t="s">
        <v>279</v>
      </c>
      <c r="D60" s="62" t="s">
        <v>366</v>
      </c>
      <c r="E60" s="62" t="s">
        <v>366</v>
      </c>
      <c r="F60" s="62" t="s">
        <v>366</v>
      </c>
      <c r="G60" s="62" t="s">
        <v>366</v>
      </c>
      <c r="I60" s="77">
        <v>28</v>
      </c>
      <c r="J60" s="77"/>
      <c r="K60" s="77"/>
      <c r="L60" s="77"/>
      <c r="M60" s="77"/>
      <c r="O60" s="141"/>
      <c r="P60" s="141"/>
      <c r="Q60" s="141"/>
      <c r="R60" s="141"/>
      <c r="S60" s="141"/>
      <c r="T60" s="141"/>
      <c r="U60" s="141"/>
      <c r="V60" s="141"/>
    </row>
    <row r="61" spans="2:22" x14ac:dyDescent="0.25">
      <c r="C61" s="75" t="s">
        <v>280</v>
      </c>
      <c r="D61" s="62" t="s">
        <v>366</v>
      </c>
      <c r="E61" s="62" t="s">
        <v>366</v>
      </c>
      <c r="F61" s="62" t="s">
        <v>366</v>
      </c>
      <c r="G61" s="62" t="s">
        <v>366</v>
      </c>
      <c r="I61" s="77">
        <v>68</v>
      </c>
      <c r="J61" s="77"/>
      <c r="K61" s="77"/>
      <c r="L61" s="77"/>
      <c r="M61" s="77"/>
      <c r="O61" s="141"/>
      <c r="P61" s="141"/>
      <c r="Q61" s="141"/>
      <c r="R61" s="141"/>
      <c r="S61" s="141"/>
      <c r="T61" s="141"/>
      <c r="U61" s="141"/>
      <c r="V61" s="141"/>
    </row>
    <row r="62" spans="2:22" x14ac:dyDescent="0.25">
      <c r="C62" s="75" t="s">
        <v>281</v>
      </c>
      <c r="D62" s="62" t="s">
        <v>366</v>
      </c>
      <c r="E62" s="62" t="s">
        <v>366</v>
      </c>
      <c r="F62" s="62" t="s">
        <v>366</v>
      </c>
      <c r="G62" s="62" t="s">
        <v>366</v>
      </c>
      <c r="I62" s="77">
        <v>190</v>
      </c>
      <c r="J62" s="77"/>
      <c r="K62" s="77"/>
      <c r="L62" s="77"/>
      <c r="M62" s="77"/>
      <c r="O62" s="141"/>
      <c r="P62" s="141"/>
      <c r="Q62" s="141"/>
      <c r="R62" s="141"/>
      <c r="S62" s="141"/>
      <c r="T62" s="141"/>
      <c r="U62" s="141"/>
      <c r="V62" s="141"/>
    </row>
    <row r="63" spans="2:22" x14ac:dyDescent="0.25">
      <c r="B63" s="79"/>
      <c r="C63" s="76" t="s">
        <v>282</v>
      </c>
      <c r="D63" s="63" t="s">
        <v>366</v>
      </c>
      <c r="E63" s="63" t="s">
        <v>366</v>
      </c>
      <c r="F63" s="63" t="s">
        <v>366</v>
      </c>
      <c r="G63" s="63" t="s">
        <v>366</v>
      </c>
      <c r="I63" s="78">
        <v>500</v>
      </c>
      <c r="J63" s="78"/>
      <c r="K63" s="78"/>
      <c r="L63" s="78"/>
      <c r="M63" s="78"/>
      <c r="O63" s="141"/>
      <c r="P63" s="141"/>
      <c r="Q63" s="141"/>
      <c r="R63" s="141"/>
      <c r="S63" s="141"/>
      <c r="T63" s="141"/>
      <c r="U63" s="141"/>
      <c r="V63" s="141"/>
    </row>
    <row r="66" spans="1:1" ht="17.25" x14ac:dyDescent="0.25">
      <c r="A66" s="136"/>
    </row>
  </sheetData>
  <sheetProtection algorithmName="SHA-512" hashValue="S0x6r24cjv4p4Hs7yGlEwBstLmdCE9/Hb/UFBeFh6PPHpRrjuMeUrnYOZrB8pfUpq6Bwa6mVWqD3QVooAXIkIQ==" saltValue="gwL1LWH0YeSAMXl1PEwl3Q==" spinCount="100000" sheet="1" objects="1" scenarios="1"/>
  <mergeCells count="7">
    <mergeCell ref="U2:V2"/>
    <mergeCell ref="O1:V1"/>
    <mergeCell ref="C2:G2"/>
    <mergeCell ref="I1:M1"/>
    <mergeCell ref="O2:P2"/>
    <mergeCell ref="Q2:R2"/>
    <mergeCell ref="S2:T2"/>
  </mergeCells>
  <pageMargins left="0.51181102362204722" right="0.51181102362204722" top="0.59055118110236227" bottom="0.59055118110236227" header="0.31496062992125984" footer="0.31496062992125984"/>
  <pageSetup paperSize="9" scale="53" fitToWidth="0" orientation="landscape" r:id="rId1"/>
  <ignoredErrors>
    <ignoredError sqref="O5:V32 O34:V53 O33:V33" formulaRange="1"/>
    <ignoredError sqref="D34:G34 D44:E44 D49:E49 F49:G49 F44:G44 D9:G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7"/>
  <dimension ref="A1:H15"/>
  <sheetViews>
    <sheetView workbookViewId="0">
      <selection activeCell="E33" sqref="E33"/>
    </sheetView>
  </sheetViews>
  <sheetFormatPr baseColWidth="10" defaultColWidth="10.85546875" defaultRowHeight="15" x14ac:dyDescent="0.25"/>
  <cols>
    <col min="1" max="1" width="35" style="16" customWidth="1"/>
    <col min="2" max="2" width="20.42578125" style="16" bestFit="1" customWidth="1"/>
    <col min="3" max="3" width="25.28515625" style="16" bestFit="1" customWidth="1"/>
    <col min="4" max="4" width="25.28515625" style="16" customWidth="1"/>
    <col min="5" max="5" width="32" style="16" bestFit="1" customWidth="1"/>
    <col min="6" max="6" width="32" style="198" customWidth="1"/>
    <col min="7" max="7" width="32" style="198" bestFit="1" customWidth="1"/>
    <col min="8" max="16384" width="10.85546875" style="16"/>
  </cols>
  <sheetData>
    <row r="1" spans="1:8" s="15" customFormat="1" ht="24" x14ac:dyDescent="0.25">
      <c r="A1" s="14" t="s">
        <v>481</v>
      </c>
      <c r="B1" s="14"/>
      <c r="C1" s="14"/>
      <c r="D1" s="14"/>
      <c r="E1" s="14"/>
      <c r="F1" s="194"/>
      <c r="G1" s="194"/>
      <c r="H1" s="14"/>
    </row>
    <row r="2" spans="1:8" x14ac:dyDescent="0.25">
      <c r="A2" s="12"/>
      <c r="B2" s="12"/>
      <c r="C2" s="12"/>
      <c r="D2" s="12"/>
      <c r="E2" s="12"/>
      <c r="F2" s="195"/>
      <c r="G2" s="195"/>
      <c r="H2" s="12"/>
    </row>
    <row r="3" spans="1:8" ht="25.5" x14ac:dyDescent="0.25">
      <c r="A3" s="17" t="s">
        <v>62</v>
      </c>
      <c r="B3" s="17" t="s">
        <v>448</v>
      </c>
      <c r="C3" s="17" t="s">
        <v>449</v>
      </c>
      <c r="D3" s="17" t="s">
        <v>450</v>
      </c>
      <c r="E3" s="17" t="s">
        <v>451</v>
      </c>
      <c r="F3" s="196" t="s">
        <v>96</v>
      </c>
      <c r="G3" s="196" t="s">
        <v>608</v>
      </c>
      <c r="H3" s="12"/>
    </row>
    <row r="4" spans="1:8" x14ac:dyDescent="0.25">
      <c r="A4" s="18"/>
      <c r="B4" s="18">
        <v>8000</v>
      </c>
      <c r="C4" s="18">
        <v>0</v>
      </c>
      <c r="D4" s="18">
        <v>8000</v>
      </c>
      <c r="E4" s="18">
        <v>20</v>
      </c>
      <c r="F4" s="197">
        <v>1600</v>
      </c>
      <c r="G4" s="197">
        <v>40</v>
      </c>
      <c r="H4" s="12"/>
    </row>
    <row r="5" spans="1:8" ht="25.5" x14ac:dyDescent="0.25">
      <c r="A5" s="17" t="s">
        <v>28</v>
      </c>
      <c r="B5" s="17" t="s">
        <v>448</v>
      </c>
      <c r="C5" s="17" t="s">
        <v>449</v>
      </c>
      <c r="D5" s="17" t="s">
        <v>450</v>
      </c>
      <c r="E5" s="17" t="s">
        <v>451</v>
      </c>
      <c r="F5" s="196" t="s">
        <v>96</v>
      </c>
      <c r="G5" s="196" t="s">
        <v>608</v>
      </c>
      <c r="H5" s="12"/>
    </row>
    <row r="6" spans="1:8" x14ac:dyDescent="0.25">
      <c r="A6" s="18"/>
      <c r="B6" s="18">
        <v>4650</v>
      </c>
      <c r="C6" s="18">
        <v>0</v>
      </c>
      <c r="D6" s="19">
        <v>4650</v>
      </c>
      <c r="E6" s="19">
        <v>60</v>
      </c>
      <c r="F6" s="197">
        <v>1600</v>
      </c>
      <c r="G6" s="197">
        <v>40</v>
      </c>
      <c r="H6" s="12"/>
    </row>
    <row r="7" spans="1:8" ht="25.5" x14ac:dyDescent="0.25">
      <c r="A7" s="12" t="s">
        <v>95</v>
      </c>
      <c r="B7" s="17" t="s">
        <v>448</v>
      </c>
      <c r="C7" s="17" t="s">
        <v>449</v>
      </c>
      <c r="D7" s="17" t="s">
        <v>450</v>
      </c>
      <c r="E7" s="17" t="s">
        <v>451</v>
      </c>
      <c r="F7" s="195" t="s">
        <v>96</v>
      </c>
      <c r="G7" s="196" t="s">
        <v>608</v>
      </c>
    </row>
    <row r="8" spans="1:8" x14ac:dyDescent="0.25">
      <c r="A8" s="18"/>
      <c r="B8" s="18">
        <v>10650</v>
      </c>
      <c r="C8" s="18">
        <v>0</v>
      </c>
      <c r="D8" s="18">
        <v>10650</v>
      </c>
      <c r="E8" s="18">
        <v>180</v>
      </c>
      <c r="F8" s="197">
        <v>1600</v>
      </c>
      <c r="G8" s="197">
        <v>40</v>
      </c>
    </row>
    <row r="9" spans="1:8" x14ac:dyDescent="0.25">
      <c r="A9" s="17" t="s">
        <v>94</v>
      </c>
      <c r="B9" s="20"/>
      <c r="C9" s="17" t="s">
        <v>92</v>
      </c>
      <c r="D9" s="17" t="s">
        <v>91</v>
      </c>
      <c r="E9" s="12" t="s">
        <v>93</v>
      </c>
      <c r="F9" s="195"/>
      <c r="G9" s="195"/>
      <c r="H9" s="12"/>
    </row>
    <row r="10" spans="1:8" x14ac:dyDescent="0.25">
      <c r="A10" s="18"/>
      <c r="B10" s="19"/>
      <c r="C10" s="18">
        <v>0</v>
      </c>
      <c r="D10" s="18">
        <v>0</v>
      </c>
      <c r="E10" s="18">
        <v>0</v>
      </c>
      <c r="F10" s="197"/>
      <c r="G10" s="197"/>
      <c r="H10" s="12"/>
    </row>
    <row r="11" spans="1:8" x14ac:dyDescent="0.25">
      <c r="B11" s="12"/>
      <c r="C11" s="12"/>
      <c r="D11" s="12"/>
      <c r="E11" s="12"/>
      <c r="F11" s="195"/>
      <c r="G11" s="195"/>
      <c r="H11" s="12"/>
    </row>
    <row r="12" spans="1:8" x14ac:dyDescent="0.25">
      <c r="F12" s="424" t="s">
        <v>609</v>
      </c>
      <c r="G12" s="424"/>
    </row>
    <row r="13" spans="1:8" x14ac:dyDescent="0.25">
      <c r="A13" s="12"/>
    </row>
    <row r="14" spans="1:8" x14ac:dyDescent="0.25">
      <c r="A14" s="12"/>
    </row>
    <row r="15" spans="1:8" x14ac:dyDescent="0.25">
      <c r="A15" s="12"/>
    </row>
  </sheetData>
  <sheetProtection algorithmName="SHA-512" hashValue="qw3aoYQS1asg+yO/mUsWzki6gux4sev8RX6TEwY8o9lYUWDiHKlgF794OAQQwRtnVJJALWfQNryZn+Hk/EMkvw==" saltValue="Yp49uQsDveEN9HdcmVPtPQ==" spinCount="100000" sheet="1" objects="1" scenarios="1"/>
  <dataConsolidate/>
  <mergeCells count="1">
    <mergeCell ref="F12:G1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47</vt:i4>
      </vt:variant>
    </vt:vector>
  </HeadingPairs>
  <TitlesOfParts>
    <vt:vector size="59" baseType="lpstr">
      <vt:lpstr>Berechnung</vt:lpstr>
      <vt:lpstr>Bild_Heizkosten</vt:lpstr>
      <vt:lpstr>GWR</vt:lpstr>
      <vt:lpstr>Berechnungsgrundlagen</vt:lpstr>
      <vt:lpstr>Quellen</vt:lpstr>
      <vt:lpstr>2.1 Nutzungsgrad</vt:lpstr>
      <vt:lpstr>2.3 Energiepreise</vt:lpstr>
      <vt:lpstr>3.1-4.1 Investitionskosten</vt:lpstr>
      <vt:lpstr>3.5 Förderbeitrag (Kanton)</vt:lpstr>
      <vt:lpstr>5.1 Raumbedarf</vt:lpstr>
      <vt:lpstr>7.2 Kalkulationszinssatz</vt:lpstr>
      <vt:lpstr>Log-Journal</vt:lpstr>
      <vt:lpstr>Alternativen1_ref</vt:lpstr>
      <vt:lpstr>Alternativen2_ref</vt:lpstr>
      <vt:lpstr>Bauvorhaben_ref</vt:lpstr>
      <vt:lpstr>Betriebszeit</vt:lpstr>
      <vt:lpstr>Berechnung!Druckbereich</vt:lpstr>
      <vt:lpstr>EBF</vt:lpstr>
      <vt:lpstr>Energiepreise_ref</vt:lpstr>
      <vt:lpstr>Faktor</vt:lpstr>
      <vt:lpstr>Fernwärme</vt:lpstr>
      <vt:lpstr>Fernwärme_Invest_ref</vt:lpstr>
      <vt:lpstr>Förderbeiträge</vt:lpstr>
      <vt:lpstr>Gasheizung_Invest_ref</vt:lpstr>
      <vt:lpstr>Gebäudekategorie_ref</vt:lpstr>
      <vt:lpstr>Heizgradtage</vt:lpstr>
      <vt:lpstr>Heizleistungsbedarf</vt:lpstr>
      <vt:lpstr>Investition_ref</vt:lpstr>
      <vt:lpstr>MWST</vt:lpstr>
      <vt:lpstr>NEB</vt:lpstr>
      <vt:lpstr>NEB_manuell</vt:lpstr>
      <vt:lpstr>Nutzungsgrad_max</vt:lpstr>
      <vt:lpstr>Nutzungsgrad_ref</vt:lpstr>
      <vt:lpstr>Nutzungsgrad_Tabelle</vt:lpstr>
      <vt:lpstr>Oelheizung_Invest_ref</vt:lpstr>
      <vt:lpstr>Pellets_Invest_ref</vt:lpstr>
      <vt:lpstr>Preis_Fernwärme_ref</vt:lpstr>
      <vt:lpstr>Raumbedarf_ref</vt:lpstr>
      <vt:lpstr>Schnitzel_Invest_ref</vt:lpstr>
      <vt:lpstr>Spez_Raumkosten</vt:lpstr>
      <vt:lpstr>Strompreis_ref</vt:lpstr>
      <vt:lpstr>Stromverbrauch_ref</vt:lpstr>
      <vt:lpstr>System_1</vt:lpstr>
      <vt:lpstr>System_1b</vt:lpstr>
      <vt:lpstr>System_2</vt:lpstr>
      <vt:lpstr>System_3</vt:lpstr>
      <vt:lpstr>System_4</vt:lpstr>
      <vt:lpstr>Ta</vt:lpstr>
      <vt:lpstr>Ti</vt:lpstr>
      <vt:lpstr>Warmwasserbedarf</vt:lpstr>
      <vt:lpstr>Warmwasserbedarf_ref</vt:lpstr>
      <vt:lpstr>Wartung_Unterhalt_ref</vt:lpstr>
      <vt:lpstr>WP_Luft_Liste</vt:lpstr>
      <vt:lpstr>WPAbsropt_Invest_ref</vt:lpstr>
      <vt:lpstr>WPLuft_Invest_ref</vt:lpstr>
      <vt:lpstr>WPLufti_Invest_ref</vt:lpstr>
      <vt:lpstr>WPSonde_Invest_ref</vt:lpstr>
      <vt:lpstr>WPWasser_Invest_ref</vt:lpstr>
      <vt:lpstr>WPZeolyth_Invest_ref</vt:lpstr>
    </vt:vector>
  </TitlesOfParts>
  <Company>Kanton Zürich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Füzér Linda</dc:creator>
  <cp:lastModifiedBy>Michael Tobler</cp:lastModifiedBy>
  <cp:lastPrinted>2022-04-25T14:19:09Z</cp:lastPrinted>
  <dcterms:created xsi:type="dcterms:W3CDTF">2020-06-11T08:44:54Z</dcterms:created>
  <dcterms:modified xsi:type="dcterms:W3CDTF">2024-04-09T11:24:45Z</dcterms:modified>
</cp:coreProperties>
</file>