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G:\3_KJH-Leistungserbringung\32_ErgaenzendeHilfen\321_Traegerschaften\321-1_Heime\Grundlagen\2PERS\StellenMaschine\"/>
    </mc:Choice>
  </mc:AlternateContent>
  <xr:revisionPtr revIDLastSave="0" documentId="13_ncr:1_{55D9D3BF-340E-4D65-9AF6-A277E192FE92}" xr6:coauthVersionLast="36" xr6:coauthVersionMax="36" xr10:uidLastSave="{00000000-0000-0000-0000-000000000000}"/>
  <bookViews>
    <workbookView xWindow="0" yWindow="0" windowWidth="28800" windowHeight="12435" activeTab="1" xr2:uid="{00000000-000D-0000-FFFF-FFFF00000000}"/>
  </bookViews>
  <sheets>
    <sheet name="Erläuterungen" sheetId="7" r:id="rId1"/>
    <sheet name="Stellen Betreutes Wohnen" sheetId="1" r:id="rId2"/>
    <sheet name="Stellen Begleitetes Wohnen" sheetId="6" r:id="rId3"/>
    <sheet name="Stellen Agogik" sheetId="4" r:id="rId4"/>
    <sheet name="Berechnungsgrundlagen" sheetId="2" r:id="rId5"/>
    <sheet name="Berechnungen" sheetId="5" r:id="rId6"/>
  </sheets>
  <definedNames>
    <definedName name="Leistung">Berechnungsgrundlagen!$A$2:$A$7</definedName>
    <definedName name="Leistung_1" localSheetId="0">Erläuterungen!$B$3:$B$6</definedName>
    <definedName name="Leistung_1" localSheetId="3">'Stellen Agogik'!$B$3:$B$5</definedName>
    <definedName name="Leistung_1" localSheetId="2">'Stellen Begleitetes Wohnen'!$B$3:$B$4</definedName>
    <definedName name="Leistung_1">'Stellen Betreutes Wohnen'!$B$3:$B$6</definedName>
  </definedNames>
  <calcPr calcId="191029"/>
</workbook>
</file>

<file path=xl/calcChain.xml><?xml version="1.0" encoding="utf-8"?>
<calcChain xmlns="http://schemas.openxmlformats.org/spreadsheetml/2006/main">
  <c r="C12" i="5" l="1"/>
  <c r="D12" i="5"/>
  <c r="E12" i="5"/>
  <c r="F12" i="5"/>
  <c r="K8" i="5" l="1"/>
  <c r="L8" i="5"/>
  <c r="M8" i="5"/>
  <c r="J8" i="5"/>
  <c r="I8" i="5"/>
  <c r="N19" i="2" l="1"/>
  <c r="N18" i="2"/>
  <c r="N17" i="2"/>
  <c r="N16" i="2"/>
  <c r="D19" i="2"/>
  <c r="D18" i="2"/>
  <c r="D17" i="2"/>
  <c r="D16" i="2"/>
  <c r="P18" i="2"/>
  <c r="F18" i="2"/>
  <c r="P16" i="2" l="1"/>
  <c r="F16" i="2"/>
  <c r="G25" i="2"/>
  <c r="G24" i="2"/>
  <c r="G23" i="2"/>
  <c r="E25" i="2"/>
  <c r="E24" i="2"/>
  <c r="E23" i="2"/>
  <c r="S19" i="2"/>
  <c r="S18" i="2"/>
  <c r="U18" i="2" s="1"/>
  <c r="S17" i="2"/>
  <c r="U17" i="2" s="1"/>
  <c r="P19" i="2"/>
  <c r="I19" i="2"/>
  <c r="K19" i="2" s="1"/>
  <c r="I18" i="2"/>
  <c r="K18" i="2" s="1"/>
  <c r="I17" i="2"/>
  <c r="I16" i="2"/>
  <c r="K16" i="2" s="1"/>
  <c r="F19" i="2"/>
  <c r="I12" i="2"/>
  <c r="K12" i="2" s="1"/>
  <c r="S16" i="2"/>
  <c r="U16" i="2" s="1"/>
  <c r="U19" i="2"/>
  <c r="P17" i="2"/>
  <c r="K17" i="2"/>
  <c r="F17" i="2"/>
  <c r="D14" i="6" l="1"/>
  <c r="E14" i="6"/>
  <c r="F14" i="6"/>
  <c r="J12" i="5" l="1"/>
  <c r="L12" i="5"/>
  <c r="M12" i="5"/>
  <c r="K11" i="5"/>
  <c r="K12" i="5" s="1"/>
  <c r="L11" i="5"/>
  <c r="M11" i="5"/>
  <c r="C37" i="5"/>
  <c r="D37" i="5"/>
  <c r="E37" i="5"/>
  <c r="F37" i="5"/>
  <c r="F31" i="5"/>
  <c r="F32" i="5"/>
  <c r="F33" i="5"/>
  <c r="D34" i="5"/>
  <c r="E34" i="5"/>
  <c r="F34" i="5"/>
  <c r="D29" i="5"/>
  <c r="C29" i="5"/>
  <c r="E29" i="5"/>
  <c r="F29" i="5"/>
  <c r="C25" i="5"/>
  <c r="D25" i="5"/>
  <c r="E25" i="5"/>
  <c r="F25" i="5"/>
  <c r="C21" i="5"/>
  <c r="C13" i="5"/>
  <c r="F21" i="5"/>
  <c r="E21" i="5"/>
  <c r="D21" i="5"/>
  <c r="F17" i="5"/>
  <c r="E17" i="5"/>
  <c r="D17" i="5"/>
  <c r="E15" i="5"/>
  <c r="E27" i="5"/>
  <c r="F27" i="5"/>
  <c r="E23" i="5"/>
  <c r="F23" i="5"/>
  <c r="E19" i="5"/>
  <c r="F19" i="5"/>
  <c r="F15" i="5"/>
  <c r="F13" i="5"/>
  <c r="E13" i="5"/>
  <c r="E32" i="5" s="1"/>
  <c r="D13" i="5"/>
  <c r="E11" i="5"/>
  <c r="F11" i="5"/>
  <c r="F23" i="1" l="1"/>
  <c r="E33" i="5"/>
  <c r="E31" i="5"/>
  <c r="E23" i="1"/>
  <c r="D23" i="1"/>
  <c r="J11" i="5"/>
  <c r="C14" i="6"/>
  <c r="D33" i="5"/>
  <c r="D31" i="5"/>
  <c r="D32" i="5"/>
  <c r="I11" i="5"/>
  <c r="I12" i="5" s="1"/>
  <c r="I2" i="5" s="1"/>
  <c r="B14" i="6"/>
  <c r="K2" i="5"/>
  <c r="L2" i="5"/>
  <c r="J2" i="5"/>
  <c r="M2" i="5"/>
  <c r="B37" i="5"/>
  <c r="F6" i="6" l="1"/>
  <c r="F15" i="6"/>
  <c r="E6" i="6"/>
  <c r="E15" i="6"/>
  <c r="D6" i="6"/>
  <c r="D15" i="6"/>
  <c r="C6" i="6"/>
  <c r="C15" i="6"/>
  <c r="B6" i="6"/>
  <c r="B15" i="6"/>
  <c r="B6" i="4" l="1"/>
  <c r="B14" i="4" s="1"/>
  <c r="I11" i="2"/>
  <c r="K11" i="2" s="1"/>
  <c r="M12" i="2"/>
  <c r="I13" i="2"/>
  <c r="K13" i="2" s="1"/>
  <c r="I10" i="2"/>
  <c r="K10" i="2" s="1"/>
  <c r="G18" i="2" l="1"/>
  <c r="Q18" i="2"/>
  <c r="B11" i="5" s="1"/>
  <c r="V18" i="2"/>
  <c r="B27" i="5" s="1"/>
  <c r="L18" i="2"/>
  <c r="B23" i="5" s="1"/>
  <c r="B8" i="5"/>
  <c r="B36" i="5" s="1"/>
  <c r="E8" i="5"/>
  <c r="E36" i="5" s="1"/>
  <c r="M13" i="2"/>
  <c r="M10" i="2"/>
  <c r="M11" i="2"/>
  <c r="G17" i="2" s="1"/>
  <c r="F6" i="4"/>
  <c r="F14" i="4" s="1"/>
  <c r="E6" i="4"/>
  <c r="E14" i="4" s="1"/>
  <c r="D6" i="4"/>
  <c r="D14" i="4" s="1"/>
  <c r="C6" i="4"/>
  <c r="C14" i="4" s="1"/>
  <c r="L16" i="2" l="1"/>
  <c r="G16" i="2"/>
  <c r="Q16" i="2"/>
  <c r="V16" i="2"/>
  <c r="L19" i="2"/>
  <c r="C23" i="5" s="1"/>
  <c r="G19" i="2"/>
  <c r="B29" i="5"/>
  <c r="B19" i="5"/>
  <c r="B15" i="5"/>
  <c r="D15" i="5"/>
  <c r="D19" i="5"/>
  <c r="Q17" i="2"/>
  <c r="D11" i="5" s="1"/>
  <c r="V17" i="2"/>
  <c r="D27" i="5" s="1"/>
  <c r="L17" i="2"/>
  <c r="D23" i="5" s="1"/>
  <c r="V19" i="2"/>
  <c r="C27" i="5" s="1"/>
  <c r="Q19" i="2"/>
  <c r="C11" i="5" s="1"/>
  <c r="E38" i="5"/>
  <c r="D8" i="5"/>
  <c r="D36" i="5" s="1"/>
  <c r="F8" i="5"/>
  <c r="F36" i="5" s="1"/>
  <c r="C8" i="5"/>
  <c r="C36" i="5" s="1"/>
  <c r="B8" i="4"/>
  <c r="E9" i="5" l="1"/>
  <c r="C19" i="5"/>
  <c r="C15" i="5"/>
  <c r="B38" i="5"/>
  <c r="F38" i="5"/>
  <c r="D38" i="5"/>
  <c r="C38" i="5"/>
  <c r="E28" i="5" l="1"/>
  <c r="E42" i="5"/>
  <c r="E22" i="1"/>
  <c r="E40" i="5"/>
  <c r="E2" i="5" s="1"/>
  <c r="E20" i="5"/>
  <c r="E24" i="5"/>
  <c r="E16" i="5"/>
  <c r="D9" i="5"/>
  <c r="C9" i="5"/>
  <c r="F9" i="5"/>
  <c r="B9" i="5"/>
  <c r="B16" i="5" l="1"/>
  <c r="B17" i="5" s="1"/>
  <c r="B23" i="1" s="1"/>
  <c r="B12" i="5"/>
  <c r="B13" i="5" s="1"/>
  <c r="F28" i="5"/>
  <c r="F42" i="5"/>
  <c r="F40" i="5"/>
  <c r="F2" i="5" s="1"/>
  <c r="F24" i="1" s="1"/>
  <c r="F22" i="1"/>
  <c r="E14" i="1"/>
  <c r="E24" i="1"/>
  <c r="D28" i="5"/>
  <c r="D40" i="5"/>
  <c r="D2" i="5" s="1"/>
  <c r="D42" i="5"/>
  <c r="D22" i="1"/>
  <c r="C28" i="5"/>
  <c r="C20" i="5"/>
  <c r="C24" i="5"/>
  <c r="F20" i="5"/>
  <c r="F24" i="5"/>
  <c r="D20" i="5"/>
  <c r="D24" i="5"/>
  <c r="D16" i="5"/>
  <c r="C16" i="5"/>
  <c r="C17" i="5" s="1"/>
  <c r="C23" i="1" s="1"/>
  <c r="F16" i="5"/>
  <c r="B24" i="5"/>
  <c r="B25" i="5" s="1"/>
  <c r="B28" i="5"/>
  <c r="B20" i="5"/>
  <c r="B21" i="5" s="1"/>
  <c r="F14" i="1" l="1"/>
  <c r="D24" i="1"/>
  <c r="D14" i="1"/>
  <c r="C33" i="5"/>
  <c r="C34" i="5" s="1"/>
  <c r="C40" i="5" s="1"/>
  <c r="C2" i="5" s="1"/>
  <c r="C31" i="5"/>
  <c r="C32" i="5"/>
  <c r="B31" i="5"/>
  <c r="B32" i="5"/>
  <c r="B33" i="5"/>
  <c r="B8" i="6"/>
  <c r="B34" i="5" l="1"/>
  <c r="B22" i="1" s="1"/>
  <c r="C14" i="1"/>
  <c r="C24" i="1"/>
  <c r="C42" i="5"/>
  <c r="C22" i="1"/>
  <c r="B42" i="5" l="1"/>
  <c r="B40" i="5"/>
  <c r="B2" i="5" s="1"/>
  <c r="B24" i="1" s="1"/>
  <c r="B14" i="1" l="1"/>
  <c r="B16" i="1" s="1"/>
</calcChain>
</file>

<file path=xl/sharedStrings.xml><?xml version="1.0" encoding="utf-8"?>
<sst xmlns="http://schemas.openxmlformats.org/spreadsheetml/2006/main" count="272" uniqueCount="143">
  <si>
    <t>Leistung 1</t>
  </si>
  <si>
    <t>Leistung 2</t>
  </si>
  <si>
    <t>Leistung 3</t>
  </si>
  <si>
    <t>Leistung 4</t>
  </si>
  <si>
    <t>Leistung 5</t>
  </si>
  <si>
    <t>Leistung</t>
  </si>
  <si>
    <t>Platzzahl</t>
  </si>
  <si>
    <t>Begleitetes Wohnen</t>
  </si>
  <si>
    <t>Betreutes Wohnen</t>
  </si>
  <si>
    <t>Agogisch gestaltete Beschäftigung</t>
  </si>
  <si>
    <t>Agogisch gestaltete Bildung</t>
  </si>
  <si>
    <t>Tageswohnen</t>
  </si>
  <si>
    <t>Leistungen</t>
  </si>
  <si>
    <t>1-4</t>
  </si>
  <si>
    <t>5-8</t>
  </si>
  <si>
    <t>9-12</t>
  </si>
  <si>
    <t>13-16</t>
  </si>
  <si>
    <t>Name</t>
  </si>
  <si>
    <t>Besondere Bedürfnisse</t>
  </si>
  <si>
    <t>Stellenprozent</t>
  </si>
  <si>
    <t xml:space="preserve">Infofeld: </t>
  </si>
  <si>
    <t>Berechnung Agogik</t>
  </si>
  <si>
    <t>&gt;</t>
  </si>
  <si>
    <t xml:space="preserve">Abdeckung 1 zu 4 auf eine 5-tägige Arbeitswoche. Da ein Tag Berufsschule einberechnet werden muss, die Arbeitstage der Arbeitsagogen wohl aber länger sind (früher anfangen und später aufhören), kann doch mit 100% mit einer 1 zu 4 Betreuung pro Woche gerechnet werden. </t>
  </si>
  <si>
    <t>=</t>
  </si>
  <si>
    <t>Stellen</t>
  </si>
  <si>
    <t>Wochenstunden</t>
  </si>
  <si>
    <t>Agogik Stellen</t>
  </si>
  <si>
    <t>Ferienlager</t>
  </si>
  <si>
    <t>1 Woche</t>
  </si>
  <si>
    <t>2 Wochen</t>
  </si>
  <si>
    <t>3 Wochen</t>
  </si>
  <si>
    <t>Ein Arbeitstag wird bei 1 zu 4 durchgehend im Schnitt mit 6 Uhr morgens bis 10 Uhr abends berechnet. Für weitere Abdeckungen werden nur die Morgen-, Mittag- und Abendzeit hinzugerechnet, wo eine höhere Abdeckung nötig wird.</t>
  </si>
  <si>
    <t>Nein</t>
  </si>
  <si>
    <t>Berechnung Betreutes Wohnen</t>
  </si>
  <si>
    <t>Betreutes Wohnen Std./Tag</t>
  </si>
  <si>
    <t>Berechnung Begleitetes Wohnen</t>
  </si>
  <si>
    <t>Zusatz</t>
  </si>
  <si>
    <t>Stellen Betreutes Wohnen</t>
  </si>
  <si>
    <t>Stellen Begleitetes Wohnen</t>
  </si>
  <si>
    <t>Stellenprozent mit Zusatz</t>
  </si>
  <si>
    <t>Effektiv</t>
  </si>
  <si>
    <t>Stellenprozent Pädagogik</t>
  </si>
  <si>
    <t>Voraussichtlicher Personalbedarf</t>
  </si>
  <si>
    <t>Ferienlager Zusatz</t>
  </si>
  <si>
    <t>Ferienlager 1 Woche</t>
  </si>
  <si>
    <t>Ferienlager 2 Wochen</t>
  </si>
  <si>
    <t>Ferienwoche 3 Wochen</t>
  </si>
  <si>
    <t>Stunden</t>
  </si>
  <si>
    <t>Schliessungstage</t>
  </si>
  <si>
    <t>Schliessungstage Abzug</t>
  </si>
  <si>
    <t>Geschlossenheit</t>
  </si>
  <si>
    <t>Zusatz Betreutes Wohnen</t>
  </si>
  <si>
    <t>Begleitetes Wohnen Stellen</t>
  </si>
  <si>
    <t>1 Platz</t>
  </si>
  <si>
    <t>2 Plätze</t>
  </si>
  <si>
    <t>3 Plätze</t>
  </si>
  <si>
    <t>etc.</t>
  </si>
  <si>
    <t>0-360</t>
  </si>
  <si>
    <t>Kind-Eltern</t>
  </si>
  <si>
    <t>Faktor</t>
  </si>
  <si>
    <t>Tage</t>
  </si>
  <si>
    <t>Abzug/Tag</t>
  </si>
  <si>
    <t>Stellenprozent mit Zusatz KiEl</t>
  </si>
  <si>
    <t>Stellen Begleitet L1</t>
  </si>
  <si>
    <t>Stellen Begleitet L2</t>
  </si>
  <si>
    <t>Stellen Begleitet L3</t>
  </si>
  <si>
    <t>Stellen Begleitet L4</t>
  </si>
  <si>
    <t>Stellen Begleitet L5</t>
  </si>
  <si>
    <t>Stellen Betreut L1</t>
  </si>
  <si>
    <t>Stellen Betreut L2</t>
  </si>
  <si>
    <t>Stellen Betreut L3</t>
  </si>
  <si>
    <t>Stellen Betreut L4</t>
  </si>
  <si>
    <t>Stellen Betreut L5</t>
  </si>
  <si>
    <t>Besondere Bedürfnisse / Kinde-Eltern</t>
  </si>
  <si>
    <t>Vorgaben für Stellen in Bildung in beruflicher Praxis und 
agogisch gestalteter Beschäftigung (Stellen Agogik)</t>
  </si>
  <si>
    <r>
      <rPr>
        <b/>
        <sz val="11"/>
        <color theme="1"/>
        <rFont val="Calibri"/>
        <family val="2"/>
        <scheme val="minor"/>
      </rPr>
      <t>Geschlossenheit</t>
    </r>
    <r>
      <rPr>
        <sz val="11"/>
        <color theme="1"/>
        <rFont val="Calibri"/>
        <family val="2"/>
        <scheme val="minor"/>
      </rPr>
      <t>: Angebote im geschlossenen Bereich.</t>
    </r>
  </si>
  <si>
    <t>Stellenprozent Agogik</t>
  </si>
  <si>
    <t>Vorgaben für Stellen im betreuten und begleiteten Wohnen</t>
  </si>
  <si>
    <t>15+9.5=24.5</t>
  </si>
  <si>
    <t>15+9.5+9.5=34</t>
  </si>
  <si>
    <t>15+9.5+9.5+9.5=43.5</t>
  </si>
  <si>
    <t>15+9.5+9.5+9.5+9.5=53</t>
  </si>
  <si>
    <t>15+15=30</t>
  </si>
  <si>
    <t>15+15+15=45</t>
  </si>
  <si>
    <t>15+15+15+15=60</t>
  </si>
  <si>
    <t>30*7=</t>
  </si>
  <si>
    <t>45*7=</t>
  </si>
  <si>
    <t>60*7=</t>
  </si>
  <si>
    <t>30*14=</t>
  </si>
  <si>
    <t>45*14=</t>
  </si>
  <si>
    <t>60*14=</t>
  </si>
  <si>
    <t>30*21=</t>
  </si>
  <si>
    <t>45*21=</t>
  </si>
  <si>
    <t>60*21=</t>
  </si>
  <si>
    <t>15+7</t>
  </si>
  <si>
    <t>15+7+7</t>
  </si>
  <si>
    <t>15+7+7+7</t>
  </si>
  <si>
    <t>15+15+7=37</t>
  </si>
  <si>
    <t>15+15+15+15+7=67</t>
  </si>
  <si>
    <t>15+7=22</t>
  </si>
  <si>
    <t>15+15+15+7=52</t>
  </si>
  <si>
    <t>15+7+7=29</t>
  </si>
  <si>
    <t>15+7+7+7=36</t>
  </si>
  <si>
    <t>15+7+7+7+7=43</t>
  </si>
  <si>
    <t>Gruppe 1</t>
  </si>
  <si>
    <t>Gruppe 2</t>
  </si>
  <si>
    <t>Gruppe 3</t>
  </si>
  <si>
    <t>Gruppe 4</t>
  </si>
  <si>
    <t>Gruppe 5</t>
  </si>
  <si>
    <t>Das begleitete Wohnen wird mit 20 Stellenprozent pro Platz berechnet. Dies lehnt sich an die BJ-Richtlinien an, welche bei BJ-anerkannten Heimen nicht unterschritten werden sollen (Finanzierung). Begründet kann bei nicht BJ-anerkannten Angeboten davon abgewichen werden.</t>
  </si>
  <si>
    <t>Inlusive Schliessungstage</t>
  </si>
  <si>
    <r>
      <rPr>
        <b/>
        <sz val="11"/>
        <color theme="1"/>
        <rFont val="Calibri"/>
        <family val="2"/>
        <scheme val="minor"/>
      </rPr>
      <t>Schliessungstage im Wohnen</t>
    </r>
    <r>
      <rPr>
        <sz val="11"/>
        <color theme="1"/>
        <rFont val="Calibri"/>
        <family val="2"/>
        <scheme val="minor"/>
      </rPr>
      <t>: Ein Aufenthaltstag ohne anschliessende Übernachtung.</t>
    </r>
  </si>
  <si>
    <t>Notfallplatzierung</t>
  </si>
  <si>
    <r>
      <rPr>
        <b/>
        <sz val="11"/>
        <color theme="1"/>
        <rFont val="Calibri"/>
        <family val="2"/>
        <scheme val="minor"/>
      </rPr>
      <t xml:space="preserve">Notfallplätze: </t>
    </r>
    <r>
      <rPr>
        <sz val="11"/>
        <color theme="1"/>
        <rFont val="Calibri"/>
        <family val="2"/>
        <scheme val="minor"/>
      </rPr>
      <t>Darunter fallen Aufnahmen bei einer vorliegenden akuten Kindeswohlgefährdung mit einem kürzeren stationären Aufenthalt, um eine geeignete Anschlusslösung zu finden. Ein zusätzlicher Betreuungsaufwand wird erst ab einer Anzahl von vier Notfallplätzen angerechnet. Einzelne Notfallplätze werden nicht mit einem höheren Betreuungsaufwand versehen.</t>
    </r>
  </si>
  <si>
    <t>Anzahl Notfallplätze</t>
  </si>
  <si>
    <t>Je nach konzeptioneller Ausrichtung müssen mehr Betreuungspersonen vor Ort sein. Diese konzeptionellen Ausrichtungen werden in den folgenden Zusätzen zusammengefasst und dienen als Benchmark für die Rahmenvereinbarung. Die Bewilligungsvoraussetzungen werden gemäss § 15 Abs. 1 bis 3 (betreutes Wohnen) und § 15 Abs. 5 (begleitets Wohnen) geregelt.</t>
  </si>
  <si>
    <t>1761 Std. Jahresarbeitszeit mit Abdeckung 1 zu 4. Wochenstunden*52Wochen (gemäss Leistung Durchschnittswerte) dividiert durch Jahresarbeitsleistung (1761 Std) gleich benötigte Stellen.
100% = 1887 Std./Jahr, 5 Wochen Ferien bereits abgezogen, Arbeitsleistung, 15 Arbeitstage = 126 Std. für Militär/Krankheit/Weiterbildung = Durchschnittswert werden abgezogen, 100% = 1761 Std. Arbeitsleistung im Jahr als Berechnungsgrundlage. Hinzu kommen pro Woche 3 Std. Teamsitzung und 3.5 Std. Übergaben. Betriebsferien werden einzeln eingetragen. Ferienlager werden ab 5 Kindern/Jugendlichen berücksichtigt. Die Wachstunden im Nachtpikett werden allgemein über die Besonderheiten abgegriffen. Schliessungstage können eingetragen werden.</t>
  </si>
  <si>
    <t>U2 und Bes.Bed</t>
  </si>
  <si>
    <t>Kinder unter 2 Jahren</t>
  </si>
  <si>
    <r>
      <rPr>
        <b/>
        <sz val="11"/>
        <color theme="1"/>
        <rFont val="Calibri"/>
        <family val="2"/>
      </rPr>
      <t xml:space="preserve"> Ø</t>
    </r>
    <r>
      <rPr>
        <b/>
        <sz val="11"/>
        <color theme="1"/>
        <rFont val="Calibri"/>
        <family val="2"/>
        <scheme val="minor"/>
      </rPr>
      <t xml:space="preserve"> u2 Auslastung in %</t>
    </r>
  </si>
  <si>
    <t>Für die Angebote mit Zusatz Kinder unter 2 Jahren (u2), Krisenangebot, Geschlossenheit und Besondere Bedürfnisse muss zu Betreuungszeiten immer einer zusätzliche Betreuungsperson anwesend sein. Die Herleitung, wie viele zusätzlichen Stunden dies ergibt, beruht auf Eckwerten bisher verfügter Stellenplanberechnungen. 
Für die Betreuung von Vorschulkindern bedeutet dies, dass je nach Auslastung in der Betreuung von Kleinkindern in den letzten drei Jahren (Durchschnittswert) zusätzliches Personal mit einem Faktor zwischen 1.5 bis 1.8 hinzugerechnet wird. Welcher Faktor auf das Grundangebot Wohnen angewandt wird, hängt folglich von der Auslastung im u2-Bereich und von der Platzzahl ab.
Die Betreuung von Kindern und Jugendlichen mit besonderen Bedürfnisse wird mit den gleichen Faktoren wie bei u2-Kindern, abhängig von der Platzzahl, berechnet.
Bei der Betreuung von Jugendlichen im geschlossenen Bereich bedarf es auch eines zusätzlichen Aufwands. Hier entsprechen die Faktoren 1.6 bis 1.3, je nach Platzzahl.
Notfallplätze brauchen auch eine zusätzlich anwesende Person, weshalb auch hier Faktoren zwischen 1.5 bis 1.2 (je nach Platzzahl) hinzugerechnet werden, wobei erst ab 4 notfallplatzierten Kindern/Jugendlichen ein Betreuungsmehraufwand angerechnet wird.
Kind-Eltern-Angebote können unterschiedlich gestaltet sein. Im betreuten Wohnen wird davon ausgegangen, dass ein erhöhter Personalbedarf wegen der u2-Kinder notwendig ist. Dies wird je nach anwesenden Kindern mit durchgehenden Abdeckungen gewährleistet. Da Eltern aber mit den Kindern vor Ort sind, erhalten Kind-Eltern-Angebote nicht zusätzliches Personal. Der Zusatzaufwand - im Gegensatz zur Betreuung im u2-Bereich ohne Eltern - wird von den Eltern übernommen. 
Sind die Eltern hingegen auch Minderjährig, so müssen auch die betreuten Plätze für die minderjährigen Eltern bewilligt sein. In diesem Fall werden der Kleinkindbereich gemäss u2 und der Elternbereich gemäss dem regulären betreuten Wohnen berechnet.</t>
  </si>
  <si>
    <t xml:space="preserve">Dieses Dokument dient der Berechnung der Stellenpläne für das pädagogische Personal (Betreuungspersonen gemäss §§ 15-19  KJV) in den Bereichen betreutes Wohnen, begleitetes Wohnen, Bildung in agogisch gestalteter Beschäftigung, Bildung in beruflicher Praxis und Tageswohnen. Die errechneten Stellenprozente dienen als minimale Bewilligungsvoraussetzung bei 100% Auslastung. Im Rahmen der Leistungsvereinbarungen reicht die Trägerschaft den benötigten Stellenplan ein.
Im Folgenden werden die Kriterien für das Ausfüllen der Stellenplanberechnungen (Reiter "Stellen Betreutes Wohnen", "Stellen Begleitetes Wohnen" und "Stellen Agogik") erläutert und festgehalten. 
Als Bewilligungsvoraussetzung gelten die Stellenprozente ohne Zusätze. Die Zusätze bilden die obere Grenze der in der Rahmenvereinbarung möglichen Stellen ohne Plausibilisierung. Verfügt die Trägerschaft über einen höheren Personalbedarf, als diese Berechnungen aufzeigen, müssen von der Trägerschaft Plausibilisierungen eingereicht werden. 
Die hier verwendeten Eckwerte beruhen auf Auswertungen von bisher staatsbeitragsberechtigten Kinder- und Jugendheimen und können stetig aktualisiert und angepasst werden.  </t>
  </si>
  <si>
    <t>Gemäss § 17 Abs. 2 KJV kann sich ein Viertel der Betreuungspersonen aus § 17 Abs. 1 lit. a KJV in Ausbildung befinden.</t>
  </si>
  <si>
    <t>Gemäss  § 17 Abs. 1 lit. a-e KJV, müssen Betreuungspersonen im betreuten und begleiteten Wohnen über einen der folgenden Abschlüsse verfügen: 
- Diplom als Sozialpädagogin bzw. Sozialpädagoge HF oder Fachhochschudiplom in Sozialer Arbeit
- Universitätsabschluss in Sozialer Arbeit oder klinischer Heilpädagogik (mindestens 60 Kreditpunkte) bzw. Hochschulabschluss in Erziehungswissenschaften oder Psychologie (mindestens 60 Kreditpunkte) mit sechs Monaten Berufserfahrung mit Kindern bzw. Jugendlichen (gemäss § 23 KJV)
- Diplom als Kindererzieherin bzw. Kindererzieher HF
- von der Schweizerischen Konferenz der kantonalen Erziehungsdirektoren (EDK) anerkanntes Diplom in schulischer Heilpädagogik
- einen von der Bewilligungsbehörde als gleichwertig mit lit. a oder b anerkannten Abschluss einer Ausbildung, die nicht mehr angeboten wird</t>
  </si>
  <si>
    <t>Gemäss  § 17 Abs. 3 KJV kann die Hälfte der Betreuungspersonen aus  § 17 Abs. 1 KJV bei der Betreuung von Vorschulkindern über einen der folgenden Abschlüsse verfügen:
- eidgenössisches Fähigkeitszeugnis als Fachfrau bzw. Fachmann Betreuung Fachrichtung Kinderbetreuung
- von der EDK anerkanntes Diplom in heilpädagogischer Früherziehung
- Abschluss als Kleinkinderzieherin bzw. Kleinkinderzieher</t>
  </si>
  <si>
    <t>Gemäss § 17 Abs. 4 KJV können je nach konzeptioneller Ausrichtung des Angebots weitere Betreuungspersonen nötig sein, welche je nach Ausrichtung über einen der folgenden Abschlüsse verfügen können:
- eidgenössisches Fähigkeitszeugnis als Fachfrau bzw. Fachmann Betreuung
- eidgenössisches Fähigkeitszeugnis als Fachfrau bzw. Fachmann Gesundheit
- Diplom als Pflegefachfrau bzw. Pflegefachmann HF oder FH
- von der EDK anerkanntes Diplom in heilpädagogischer Früherziehung
- Ausbildung zur Kleinkinderzieherin bzw. zum Kleinkinderzieher
- Unterrichtsberechtigung als Lehrperson für die Volksschule oder auf Sekundarstufe 2
- Diplom als Arbeistagogin bzw. Arbeitsagoge HFP</t>
  </si>
  <si>
    <t>Gemäss § 15 Abs. 5 KJV wird der Betreuungsschlüssel auf das Konzept gestützt. Als Richtwert gelten aber 20% pro Platz (was sich an den BJ-Richtlinien von 20% - 25% pro Platz orientiert). Davon kann begründet, sofern keine BJ-Anerkennung vorhanden ist, abgewichen werden.</t>
  </si>
  <si>
    <r>
      <rPr>
        <b/>
        <sz val="11"/>
        <color theme="1"/>
        <rFont val="Calibri"/>
        <family val="2"/>
        <scheme val="minor"/>
      </rPr>
      <t>Kind-Eltern</t>
    </r>
    <r>
      <rPr>
        <sz val="11"/>
        <color theme="1"/>
        <rFont val="Calibri"/>
        <family val="2"/>
        <scheme val="minor"/>
      </rPr>
      <t>: Angebote im Kind-Eltern-Bereich erhalten keinen Zusatz für Kinder unter zwei Jahren, da die Eltern als Bezugs- und Betreuungsperson vor Ort sind. Jedoch muss gewährleistet sein, dass - sollten die Eltern ihren Betreuungsaufgaben nicht nachkommen können - doch genug Personal vor Ort ist, weshalb ein zusätzlicher Personalaufwand berechnet wird.
Sind Kind wie auch Eltern minderjährig, so wird dies nicht als Kind-Eltern-Angebot gefasst, sondern als zwei Angebote mit einem allfälligen Zusatz für Kinder im Vorschulalter.</t>
    </r>
  </si>
  <si>
    <r>
      <t xml:space="preserve">Kinder unter zwei Jahren: </t>
    </r>
    <r>
      <rPr>
        <sz val="11"/>
        <color theme="1"/>
        <rFont val="Calibri"/>
        <family val="2"/>
        <scheme val="minor"/>
      </rPr>
      <t>Werden Kinder im u2-Bereich betreut, so muss eine durchschnittliche Belegung im u2-Bereich der letzten drei Jahre angegeben werden. 
Der Zusatz für Kinder unter zwei Jahren gilt nicht für Kind-Eltern-Angebote.</t>
    </r>
  </si>
  <si>
    <t>Erläuterungen für die Zusätze gemäss  § 17. Abs. 4 KJV</t>
  </si>
  <si>
    <r>
      <rPr>
        <b/>
        <sz val="11"/>
        <color theme="1"/>
        <rFont val="Calibri"/>
        <family val="2"/>
        <scheme val="minor"/>
      </rPr>
      <t>Krisentinterventionen</t>
    </r>
    <r>
      <rPr>
        <sz val="11"/>
        <color theme="1"/>
        <rFont val="Calibri"/>
        <family val="2"/>
        <scheme val="minor"/>
      </rPr>
      <t>: Ist eine diagnostische Abklärung nötig,  wird diese als Leistung in der agogisch gestalteten Beschäftigung festgehalten.</t>
    </r>
  </si>
  <si>
    <t xml:space="preserve">Nur wenn im gleichen Geschäftsbereich die Leistung Betreutes Wohnen angeboten wird, können Stellen in Bildung in beruflicher Praxis, agogisch gestalteter Beschäftigung (Stellen Agogik) bewilligt werden. Kriseninterventionen nach KJG-Leistungsraster fallen in den Bereich der agogisch gestalteten Beschäftigung (diagnostische Abklärung).
Gemäss § 18 Abs. 1 lit. a-c KJV müssen Betreuungspersonen in diesem Bereich über einen der folgenden Abschlüsse verfügen:
- Diplom als Arbeistagogin bzw. Arbeitsagoge HFP
- Unterrichtsberechtigung als Lehrperson für die Volksschule oder auf Sekundastufe 2
- Ausbildung gemäss § 17 Abs. 1 KJV
</t>
  </si>
  <si>
    <t>Gemäss § 18 Abs. 2  KJV kann sich ein Viertel der Betreuungspersonen in Ausbildung befinden.</t>
  </si>
  <si>
    <t>Stellen sind gemäss KJV § 17 Abs. 1 zu besetzen. Abweichungen vom voraussichtlichen Personalbedarf sind im folgenden Rahmen möglich:</t>
  </si>
  <si>
    <t>Mögliche Stellen gemäss  § 17 Abs. 2 KJV (SpiA)</t>
  </si>
  <si>
    <t>Mögliche Stellen gemäss § 17 Abs. 3 KJV (FaBe, etc.)</t>
  </si>
  <si>
    <t>Mögliche Stellen gemäss § 17 Abs. 4 KJV (weitere)</t>
  </si>
  <si>
    <t>Mögliche Stellen gemäss § 17 Abs. 2 KJV</t>
  </si>
  <si>
    <t>Mögliche Stellen gemäss § 17 Abs. 4 KJV</t>
  </si>
  <si>
    <t>Mögliche Stellen gemäss § 18 Abs. 2 KJV (für Tageswohnen analog "betreutes Wohnen")</t>
  </si>
  <si>
    <t>Stellen sind gemäss KJV § 18 Abs. 1 zu besetzen (für Tageswohnen analog "betreutes Wohnen"). Abweichungen vom voraussichtlichen Personalbedarf sind im folgenden Rahmen möglich:</t>
  </si>
  <si>
    <r>
      <rPr>
        <b/>
        <sz val="11"/>
        <color theme="1"/>
        <rFont val="Calibri"/>
        <family val="2"/>
        <scheme val="minor"/>
      </rPr>
      <t>Besondere Bedürfnisse</t>
    </r>
    <r>
      <rPr>
        <sz val="11"/>
        <color theme="1"/>
        <rFont val="Calibri"/>
        <family val="2"/>
        <scheme val="minor"/>
      </rPr>
      <t>: Kinder und Jugendliche mit kognitiver oder physischer Einfach- oder Mehrfachbehinderung (analog Sonderschultyp B und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</si>
</sst>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0.5"/>
      <color theme="1"/>
      <name val="Arial"/>
      <family val="2"/>
    </font>
    <font>
      <b/>
      <sz val="11"/>
      <color theme="1"/>
      <name val="Calibri"/>
      <family val="2"/>
      <scheme val="minor"/>
    </font>
    <font>
      <sz val="11"/>
      <color theme="1"/>
      <name val="Calibri"/>
      <family val="2"/>
      <scheme val="minor"/>
    </font>
    <font>
      <b/>
      <sz val="11"/>
      <color theme="1"/>
      <name val="Calibri"/>
      <family val="2"/>
    </font>
    <font>
      <b/>
      <sz val="10.5"/>
      <color theme="1"/>
      <name val="Arial"/>
      <family val="2"/>
    </font>
    <font>
      <b/>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9" fontId="3" fillId="0" borderId="0" applyFont="0" applyFill="0" applyBorder="0" applyAlignment="0" applyProtection="0"/>
  </cellStyleXfs>
  <cellXfs count="190">
    <xf numFmtId="0" fontId="0" fillId="0" borderId="0" xfId="0"/>
    <xf numFmtId="0" fontId="1" fillId="0" borderId="0" xfId="0" applyFont="1"/>
    <xf numFmtId="0" fontId="2" fillId="0" borderId="0" xfId="0" applyFont="1"/>
    <xf numFmtId="49" fontId="0" fillId="0" borderId="0" xfId="0" applyNumberFormat="1"/>
    <xf numFmtId="0" fontId="0" fillId="0" borderId="3" xfId="0" applyBorder="1"/>
    <xf numFmtId="0" fontId="2" fillId="0" borderId="4" xfId="0" applyFont="1" applyBorder="1"/>
    <xf numFmtId="0" fontId="2" fillId="0" borderId="5" xfId="0" applyFont="1" applyBorder="1"/>
    <xf numFmtId="0" fontId="2" fillId="0" borderId="6" xfId="0" applyFont="1" applyBorder="1"/>
    <xf numFmtId="0" fontId="1" fillId="0" borderId="7" xfId="0" applyFont="1" applyBorder="1"/>
    <xf numFmtId="0" fontId="1" fillId="0" borderId="8"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0" fillId="0" borderId="0" xfId="0" applyAlignment="1">
      <alignment vertical="top"/>
    </xf>
    <xf numFmtId="0" fontId="0" fillId="0" borderId="14" xfId="0" applyBorder="1"/>
    <xf numFmtId="0" fontId="0" fillId="0" borderId="15" xfId="0" applyBorder="1"/>
    <xf numFmtId="0" fontId="0" fillId="0" borderId="0" xfId="0" applyBorder="1"/>
    <xf numFmtId="0" fontId="0" fillId="0" borderId="17" xfId="0" applyBorder="1"/>
    <xf numFmtId="49" fontId="0" fillId="0" borderId="18" xfId="0" applyNumberFormat="1" applyBorder="1"/>
    <xf numFmtId="0" fontId="0" fillId="0" borderId="19" xfId="0" applyBorder="1"/>
    <xf numFmtId="0" fontId="0" fillId="0" borderId="19" xfId="0" applyBorder="1" applyAlignment="1">
      <alignment horizontal="center"/>
    </xf>
    <xf numFmtId="0" fontId="0" fillId="0" borderId="19" xfId="0" applyBorder="1" applyAlignment="1">
      <alignment horizontal="center" vertical="top"/>
    </xf>
    <xf numFmtId="0" fontId="0" fillId="0" borderId="20" xfId="0" applyBorder="1"/>
    <xf numFmtId="0" fontId="0" fillId="0" borderId="18" xfId="0" applyBorder="1" applyAlignment="1">
      <alignment horizontal="left"/>
    </xf>
    <xf numFmtId="0" fontId="0" fillId="0" borderId="23" xfId="0" applyBorder="1"/>
    <xf numFmtId="0" fontId="2" fillId="0" borderId="24" xfId="0" applyFont="1" applyBorder="1"/>
    <xf numFmtId="0" fontId="0" fillId="0" borderId="25" xfId="0" applyBorder="1"/>
    <xf numFmtId="0" fontId="0" fillId="0" borderId="20" xfId="0" applyBorder="1" applyAlignment="1">
      <alignment horizontal="center"/>
    </xf>
    <xf numFmtId="0" fontId="0" fillId="0" borderId="22" xfId="0" applyBorder="1" applyAlignment="1">
      <alignment horizontal="center"/>
    </xf>
    <xf numFmtId="0" fontId="0" fillId="0" borderId="22" xfId="0" applyBorder="1" applyAlignment="1">
      <alignment horizontal="center" vertical="top"/>
    </xf>
    <xf numFmtId="164" fontId="0" fillId="0" borderId="22" xfId="0" applyNumberFormat="1" applyBorder="1" applyAlignment="1">
      <alignment horizontal="center" vertical="top"/>
    </xf>
    <xf numFmtId="49" fontId="0" fillId="0" borderId="22" xfId="0" applyNumberFormat="1" applyBorder="1" applyAlignment="1">
      <alignment horizontal="left"/>
    </xf>
    <xf numFmtId="49" fontId="0" fillId="0" borderId="26" xfId="0" applyNumberFormat="1" applyBorder="1" applyAlignment="1">
      <alignment horizontal="left"/>
    </xf>
    <xf numFmtId="0" fontId="0" fillId="0" borderId="27" xfId="0" applyBorder="1" applyAlignment="1">
      <alignment horizontal="center" vertical="top"/>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left"/>
    </xf>
    <xf numFmtId="0" fontId="0" fillId="0" borderId="29" xfId="0" applyBorder="1" applyAlignment="1">
      <alignment horizontal="center"/>
    </xf>
    <xf numFmtId="0" fontId="0" fillId="0" borderId="26" xfId="0" applyBorder="1" applyAlignment="1">
      <alignment horizontal="center" vertical="top"/>
    </xf>
    <xf numFmtId="164" fontId="0" fillId="0" borderId="26" xfId="0" applyNumberFormat="1" applyBorder="1" applyAlignment="1">
      <alignment horizontal="center" vertical="top"/>
    </xf>
    <xf numFmtId="49" fontId="0" fillId="0" borderId="4" xfId="0" applyNumberFormat="1" applyBorder="1" applyAlignment="1">
      <alignment horizontal="left"/>
    </xf>
    <xf numFmtId="0" fontId="0" fillId="0" borderId="30" xfId="0" applyBorder="1" applyAlignment="1">
      <alignment horizontal="center" vertical="top"/>
    </xf>
    <xf numFmtId="0" fontId="0" fillId="0" borderId="4" xfId="0" applyBorder="1" applyAlignment="1">
      <alignment horizontal="center"/>
    </xf>
    <xf numFmtId="0" fontId="0" fillId="0" borderId="30" xfId="0" applyBorder="1" applyAlignment="1">
      <alignment horizontal="center"/>
    </xf>
    <xf numFmtId="0" fontId="0" fillId="0" borderId="31" xfId="0" applyBorder="1" applyAlignment="1">
      <alignment horizontal="left"/>
    </xf>
    <xf numFmtId="0" fontId="0" fillId="0" borderId="32" xfId="0" applyBorder="1" applyAlignment="1">
      <alignment horizontal="center"/>
    </xf>
    <xf numFmtId="0" fontId="0" fillId="0" borderId="4" xfId="0" applyBorder="1" applyAlignment="1">
      <alignment horizontal="center" vertical="top"/>
    </xf>
    <xf numFmtId="0" fontId="0" fillId="0" borderId="16" xfId="0" applyBorder="1"/>
    <xf numFmtId="0" fontId="0" fillId="0" borderId="18" xfId="0" applyBorder="1"/>
    <xf numFmtId="49" fontId="2" fillId="0" borderId="24" xfId="0" applyNumberFormat="1" applyFont="1" applyBorder="1"/>
    <xf numFmtId="0" fontId="2" fillId="0" borderId="23" xfId="0" applyFont="1" applyBorder="1"/>
    <xf numFmtId="0" fontId="2" fillId="0" borderId="25" xfId="0" applyFont="1" applyBorder="1"/>
    <xf numFmtId="0" fontId="0" fillId="0" borderId="2" xfId="0" applyBorder="1"/>
    <xf numFmtId="0" fontId="2" fillId="0" borderId="24" xfId="0" applyFont="1" applyFill="1" applyBorder="1" applyAlignment="1">
      <alignment horizontal="left"/>
    </xf>
    <xf numFmtId="49" fontId="0" fillId="0" borderId="16" xfId="0" applyNumberFormat="1" applyFill="1" applyBorder="1"/>
    <xf numFmtId="0" fontId="0" fillId="0" borderId="33" xfId="0" applyBorder="1"/>
    <xf numFmtId="0" fontId="0" fillId="0" borderId="34" xfId="0" applyBorder="1"/>
    <xf numFmtId="0" fontId="0" fillId="0" borderId="35" xfId="0" applyBorder="1"/>
    <xf numFmtId="164" fontId="0" fillId="0" borderId="6" xfId="0" applyNumberFormat="1" applyBorder="1" applyAlignment="1">
      <alignment horizontal="center" vertical="top"/>
    </xf>
    <xf numFmtId="9" fontId="0" fillId="0" borderId="28" xfId="0" applyNumberFormat="1" applyBorder="1" applyAlignment="1">
      <alignment horizontal="center" vertical="top"/>
    </xf>
    <xf numFmtId="9" fontId="0" fillId="0" borderId="31" xfId="0" applyNumberFormat="1" applyBorder="1" applyAlignment="1">
      <alignment horizontal="center" vertical="top"/>
    </xf>
    <xf numFmtId="9" fontId="0" fillId="0" borderId="18" xfId="0" applyNumberFormat="1" applyBorder="1" applyAlignment="1">
      <alignment horizontal="center" vertical="top"/>
    </xf>
    <xf numFmtId="0" fontId="0" fillId="0" borderId="13" xfId="0" applyBorder="1"/>
    <xf numFmtId="0" fontId="0" fillId="0" borderId="24" xfId="0" applyBorder="1"/>
    <xf numFmtId="0" fontId="0" fillId="0" borderId="36" xfId="0" applyBorder="1"/>
    <xf numFmtId="0" fontId="0" fillId="0" borderId="38" xfId="0" applyBorder="1"/>
    <xf numFmtId="0" fontId="0" fillId="0" borderId="37" xfId="0" applyBorder="1"/>
    <xf numFmtId="0" fontId="0" fillId="0" borderId="31" xfId="0" applyBorder="1"/>
    <xf numFmtId="0" fontId="2" fillId="0" borderId="28" xfId="0" applyFont="1" applyBorder="1"/>
    <xf numFmtId="9" fontId="1" fillId="0" borderId="1" xfId="0" applyNumberFormat="1" applyFont="1" applyBorder="1"/>
    <xf numFmtId="9" fontId="1" fillId="0" borderId="11" xfId="0" applyNumberFormat="1" applyFont="1" applyBorder="1"/>
    <xf numFmtId="0" fontId="0" fillId="0" borderId="21" xfId="0" applyFill="1" applyBorder="1" applyAlignment="1">
      <alignment horizontal="left"/>
    </xf>
    <xf numFmtId="0" fontId="0" fillId="0" borderId="22" xfId="0" applyFill="1" applyBorder="1" applyAlignment="1">
      <alignment horizontal="left"/>
    </xf>
    <xf numFmtId="0" fontId="0" fillId="0" borderId="16" xfId="0" applyFill="1" applyBorder="1"/>
    <xf numFmtId="0" fontId="0" fillId="0" borderId="36" xfId="0" applyFill="1" applyBorder="1"/>
    <xf numFmtId="0" fontId="0" fillId="0" borderId="13" xfId="0" applyFill="1" applyBorder="1"/>
    <xf numFmtId="0" fontId="0" fillId="0" borderId="20" xfId="0" applyBorder="1" applyAlignment="1">
      <alignment horizontal="left"/>
    </xf>
    <xf numFmtId="0" fontId="0" fillId="0" borderId="30" xfId="0" applyBorder="1"/>
    <xf numFmtId="49" fontId="0" fillId="0" borderId="13" xfId="0" applyNumberFormat="1" applyBorder="1"/>
    <xf numFmtId="0" fontId="0" fillId="0" borderId="15" xfId="0" applyBorder="1" applyAlignment="1">
      <alignment horizontal="left"/>
    </xf>
    <xf numFmtId="49" fontId="0" fillId="0" borderId="31" xfId="0" applyNumberFormat="1" applyBorder="1"/>
    <xf numFmtId="0" fontId="0" fillId="0" borderId="32" xfId="0" applyBorder="1" applyAlignment="1">
      <alignment horizontal="left"/>
    </xf>
    <xf numFmtId="0" fontId="2" fillId="0" borderId="13" xfId="0" applyFont="1" applyBorder="1"/>
    <xf numFmtId="0" fontId="2" fillId="0" borderId="14" xfId="0" applyFont="1" applyBorder="1"/>
    <xf numFmtId="0" fontId="2" fillId="0" borderId="24" xfId="0" applyFont="1" applyFill="1" applyBorder="1" applyAlignment="1">
      <alignment horizontal="left" vertical="top"/>
    </xf>
    <xf numFmtId="9" fontId="0" fillId="0" borderId="0" xfId="0" applyNumberFormat="1" applyBorder="1"/>
    <xf numFmtId="0" fontId="0" fillId="0" borderId="16"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9" fontId="0" fillId="0" borderId="29" xfId="0" applyNumberFormat="1" applyBorder="1" applyAlignment="1">
      <alignment horizontal="center"/>
    </xf>
    <xf numFmtId="9" fontId="0" fillId="0" borderId="32" xfId="0" applyNumberFormat="1" applyBorder="1" applyAlignment="1">
      <alignment horizontal="center"/>
    </xf>
    <xf numFmtId="49" fontId="0" fillId="0" borderId="21" xfId="0" applyNumberFormat="1" applyBorder="1"/>
    <xf numFmtId="49" fontId="0" fillId="0" borderId="22" xfId="0" applyNumberFormat="1" applyBorder="1"/>
    <xf numFmtId="0" fontId="0" fillId="0" borderId="0" xfId="0" applyFill="1" applyBorder="1" applyAlignment="1">
      <alignment horizontal="center"/>
    </xf>
    <xf numFmtId="0" fontId="2" fillId="0" borderId="24"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xf>
    <xf numFmtId="9" fontId="0" fillId="0" borderId="0" xfId="0" applyNumberFormat="1" applyAlignment="1">
      <alignment vertical="top"/>
    </xf>
    <xf numFmtId="0" fontId="0" fillId="0" borderId="16" xfId="0" applyFill="1" applyBorder="1" applyAlignment="1">
      <alignment horizontal="left"/>
    </xf>
    <xf numFmtId="9" fontId="0" fillId="0" borderId="17" xfId="0" applyNumberFormat="1" applyBorder="1"/>
    <xf numFmtId="0" fontId="0" fillId="0" borderId="18" xfId="0" applyFill="1" applyBorder="1" applyAlignment="1">
      <alignment horizontal="left"/>
    </xf>
    <xf numFmtId="0" fontId="0" fillId="0" borderId="19" xfId="0" applyFill="1" applyBorder="1" applyAlignment="1">
      <alignment horizontal="center"/>
    </xf>
    <xf numFmtId="9" fontId="0" fillId="0" borderId="19" xfId="0" applyNumberFormat="1" applyBorder="1"/>
    <xf numFmtId="9" fontId="0" fillId="0" borderId="20" xfId="0" applyNumberFormat="1" applyBorder="1"/>
    <xf numFmtId="0" fontId="0" fillId="0" borderId="0" xfId="0" applyAlignment="1"/>
    <xf numFmtId="164" fontId="0" fillId="0" borderId="21" xfId="0" applyNumberFormat="1" applyBorder="1"/>
    <xf numFmtId="164" fontId="0" fillId="0" borderId="22" xfId="0" applyNumberFormat="1" applyBorder="1"/>
    <xf numFmtId="0" fontId="0" fillId="0" borderId="16" xfId="0" applyBorder="1" applyAlignment="1">
      <alignment horizontal="left"/>
    </xf>
    <xf numFmtId="9" fontId="0" fillId="0" borderId="0" xfId="1" applyFont="1"/>
    <xf numFmtId="0" fontId="0" fillId="0" borderId="22" xfId="0" applyBorder="1"/>
    <xf numFmtId="0" fontId="2" fillId="0" borderId="18" xfId="0" applyFont="1" applyBorder="1"/>
    <xf numFmtId="0" fontId="2" fillId="0" borderId="24" xfId="0" applyFont="1" applyFill="1" applyBorder="1"/>
    <xf numFmtId="0" fontId="2" fillId="0" borderId="26" xfId="0" applyFont="1" applyBorder="1"/>
    <xf numFmtId="0" fontId="0" fillId="0" borderId="21" xfId="0" applyBorder="1"/>
    <xf numFmtId="0" fontId="2" fillId="0" borderId="16" xfId="0" applyFont="1" applyFill="1" applyBorder="1"/>
    <xf numFmtId="0" fontId="2" fillId="0" borderId="16" xfId="0" applyFont="1" applyBorder="1"/>
    <xf numFmtId="0" fontId="0" fillId="0" borderId="39" xfId="0" applyBorder="1"/>
    <xf numFmtId="0" fontId="0" fillId="0" borderId="6" xfId="0" applyBorder="1"/>
    <xf numFmtId="0" fontId="0" fillId="0" borderId="5" xfId="0" applyBorder="1"/>
    <xf numFmtId="0" fontId="0" fillId="0" borderId="3" xfId="0"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0" fillId="0" borderId="18" xfId="0" applyFill="1" applyBorder="1"/>
    <xf numFmtId="0" fontId="0" fillId="0" borderId="3" xfId="0" applyBorder="1" applyAlignment="1">
      <alignment horizontal="left" vertical="top"/>
    </xf>
    <xf numFmtId="0" fontId="2" fillId="0" borderId="14" xfId="0" applyFont="1" applyFill="1" applyBorder="1"/>
    <xf numFmtId="0" fontId="2" fillId="0" borderId="39" xfId="0" applyFont="1" applyFill="1" applyBorder="1"/>
    <xf numFmtId="0" fontId="2" fillId="0" borderId="39" xfId="0" applyFont="1" applyBorder="1"/>
    <xf numFmtId="0" fontId="0" fillId="0" borderId="40" xfId="0" applyBorder="1"/>
    <xf numFmtId="0" fontId="0" fillId="0" borderId="5" xfId="0" applyFont="1" applyBorder="1"/>
    <xf numFmtId="0" fontId="0" fillId="0" borderId="0" xfId="0" applyBorder="1" applyAlignment="1">
      <alignment horizontal="center"/>
    </xf>
    <xf numFmtId="0" fontId="2" fillId="0" borderId="2" xfId="0" applyFont="1" applyFill="1" applyBorder="1" applyAlignment="1">
      <alignment horizontal="left"/>
    </xf>
    <xf numFmtId="0" fontId="0" fillId="0" borderId="0" xfId="0" applyBorder="1" applyAlignment="1">
      <alignment horizontal="left" vertical="top" wrapText="1"/>
    </xf>
    <xf numFmtId="9" fontId="1" fillId="0" borderId="12" xfId="0" applyNumberFormat="1" applyFont="1" applyBorder="1"/>
    <xf numFmtId="9" fontId="1" fillId="0" borderId="10" xfId="0" applyNumberFormat="1" applyFont="1" applyBorder="1"/>
    <xf numFmtId="0" fontId="6" fillId="0" borderId="2" xfId="0" applyFont="1" applyBorder="1"/>
    <xf numFmtId="0" fontId="1" fillId="0" borderId="0" xfId="0" applyFont="1" applyBorder="1"/>
    <xf numFmtId="0" fontId="1" fillId="0" borderId="17" xfId="0" applyFont="1" applyBorder="1"/>
    <xf numFmtId="0" fontId="5" fillId="0" borderId="39" xfId="0" applyFont="1" applyBorder="1"/>
    <xf numFmtId="0" fontId="1" fillId="0" borderId="21" xfId="0" applyFont="1" applyBorder="1"/>
    <xf numFmtId="9" fontId="1" fillId="0" borderId="41" xfId="0" applyNumberFormat="1" applyFont="1" applyBorder="1"/>
    <xf numFmtId="9" fontId="1" fillId="0" borderId="42" xfId="0" applyNumberFormat="1" applyFont="1" applyBorder="1"/>
    <xf numFmtId="9" fontId="1" fillId="0" borderId="43" xfId="0" applyNumberFormat="1" applyFont="1" applyBorder="1"/>
    <xf numFmtId="9" fontId="1" fillId="0" borderId="44" xfId="0" applyNumberFormat="1" applyFont="1" applyBorder="1"/>
    <xf numFmtId="9" fontId="1" fillId="0" borderId="45" xfId="0" applyNumberFormat="1" applyFont="1" applyBorder="1"/>
    <xf numFmtId="9" fontId="1" fillId="0" borderId="46" xfId="0" applyNumberFormat="1" applyFont="1" applyFill="1" applyBorder="1"/>
    <xf numFmtId="9" fontId="1" fillId="0" borderId="47" xfId="0" applyNumberFormat="1" applyFont="1" applyFill="1" applyBorder="1"/>
    <xf numFmtId="9" fontId="1" fillId="0" borderId="48" xfId="0" applyNumberFormat="1" applyFont="1" applyFill="1" applyBorder="1"/>
    <xf numFmtId="0" fontId="1" fillId="0" borderId="22" xfId="0" applyFont="1" applyBorder="1"/>
    <xf numFmtId="0" fontId="0" fillId="0" borderId="9" xfId="0" applyFont="1" applyBorder="1"/>
    <xf numFmtId="0" fontId="0" fillId="0" borderId="2" xfId="0" applyFont="1" applyBorder="1"/>
    <xf numFmtId="0" fontId="0" fillId="0" borderId="25" xfId="0" applyFont="1" applyBorder="1"/>
    <xf numFmtId="0" fontId="7" fillId="0" borderId="13" xfId="0" applyFont="1" applyBorder="1" applyAlignment="1">
      <alignment horizontal="left" vertical="top" wrapText="1"/>
    </xf>
    <xf numFmtId="0" fontId="7" fillId="0" borderId="36" xfId="0" applyFont="1" applyBorder="1" applyAlignment="1">
      <alignment horizontal="left" vertical="top" wrapText="1"/>
    </xf>
    <xf numFmtId="0" fontId="7" fillId="0" borderId="24" xfId="0" applyFont="1" applyBorder="1" applyAlignment="1">
      <alignment horizontal="left" vertical="top" wrapText="1"/>
    </xf>
    <xf numFmtId="0" fontId="7" fillId="0" borderId="31" xfId="0" applyFont="1" applyBorder="1" applyAlignment="1">
      <alignment horizontal="left" vertical="top" wrapText="1"/>
    </xf>
    <xf numFmtId="0" fontId="2" fillId="0" borderId="12" xfId="0" applyFont="1" applyBorder="1"/>
    <xf numFmtId="0" fontId="0" fillId="0" borderId="14" xfId="0" applyBorder="1" applyAlignment="1">
      <alignment horizontal="left" vertical="top" wrapText="1"/>
    </xf>
    <xf numFmtId="0" fontId="2" fillId="0" borderId="49" xfId="0" applyFont="1" applyBorder="1"/>
    <xf numFmtId="0" fontId="2" fillId="0" borderId="50" xfId="0" applyFont="1" applyBorder="1"/>
    <xf numFmtId="0" fontId="2" fillId="0" borderId="15" xfId="0" applyFont="1" applyBorder="1"/>
    <xf numFmtId="0" fontId="0" fillId="0" borderId="16" xfId="0" applyNumberFormat="1" applyFill="1" applyBorder="1" applyAlignment="1">
      <alignment horizontal="left"/>
    </xf>
    <xf numFmtId="1" fontId="0" fillId="0" borderId="1" xfId="0" applyNumberFormat="1" applyFont="1" applyBorder="1" applyAlignment="1">
      <alignment horizontal="left"/>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2" borderId="24"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5" xfId="0" applyFont="1" applyFill="1" applyBorder="1" applyAlignment="1">
      <alignment horizontal="center" vertical="top" wrapText="1"/>
    </xf>
    <xf numFmtId="0" fontId="0" fillId="0" borderId="24" xfId="0" applyFont="1" applyBorder="1" applyAlignment="1">
      <alignment horizontal="left" wrapText="1"/>
    </xf>
    <xf numFmtId="0" fontId="0" fillId="0" borderId="23" xfId="0" applyFont="1" applyBorder="1" applyAlignment="1">
      <alignment horizontal="left" wrapText="1"/>
    </xf>
    <xf numFmtId="0" fontId="0" fillId="0" borderId="25" xfId="0" applyFont="1" applyBorder="1" applyAlignment="1">
      <alignment horizontal="left"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2" fillId="0" borderId="24" xfId="0" applyFont="1" applyBorder="1" applyAlignment="1">
      <alignment horizontal="left" vertical="top"/>
    </xf>
    <xf numFmtId="0" fontId="2" fillId="0" borderId="23" xfId="0" applyFont="1" applyBorder="1" applyAlignment="1">
      <alignment horizontal="left" vertical="top"/>
    </xf>
    <xf numFmtId="0" fontId="2" fillId="0" borderId="25" xfId="0" applyFont="1" applyBorder="1" applyAlignment="1">
      <alignment horizontal="left" vertical="top"/>
    </xf>
    <xf numFmtId="0" fontId="2" fillId="0" borderId="24" xfId="0" applyFont="1" applyBorder="1" applyAlignment="1">
      <alignment horizontal="left" wrapText="1"/>
    </xf>
    <xf numFmtId="0" fontId="2" fillId="0" borderId="23" xfId="0" applyFont="1" applyBorder="1" applyAlignment="1">
      <alignment horizontal="left" wrapText="1"/>
    </xf>
    <xf numFmtId="0" fontId="2" fillId="0" borderId="25" xfId="0" applyFont="1" applyBorder="1" applyAlignment="1">
      <alignment horizontal="left" wrapText="1"/>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28" xfId="0" applyBorder="1" applyAlignment="1">
      <alignment horizontal="left" vertical="top" wrapText="1"/>
    </xf>
    <xf numFmtId="0" fontId="0" fillId="0" borderId="27" xfId="0" applyBorder="1" applyAlignment="1">
      <alignment horizontal="left" vertical="top" wrapText="1"/>
    </xf>
    <xf numFmtId="0" fontId="0" fillId="0" borderId="29" xfId="0"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Thema farbig">
      <a:dk1>
        <a:sysClr val="windowText" lastClr="000000"/>
      </a:dk1>
      <a:lt1>
        <a:sysClr val="window" lastClr="FFFFFF"/>
      </a:lt1>
      <a:dk2>
        <a:srgbClr val="885EA0"/>
      </a:dk2>
      <a:lt2>
        <a:srgbClr val="EB690B"/>
      </a:lt2>
      <a:accent1>
        <a:srgbClr val="0076BD"/>
      </a:accent1>
      <a:accent2>
        <a:srgbClr val="E2001A"/>
      </a:accent2>
      <a:accent3>
        <a:srgbClr val="3EA743"/>
      </a:accent3>
      <a:accent4>
        <a:srgbClr val="FFCC00"/>
      </a:accent4>
      <a:accent5>
        <a:srgbClr val="009EE0"/>
      </a:accent5>
      <a:accent6>
        <a:srgbClr val="E30059"/>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showGridLines="0" view="pageLayout" zoomScaleNormal="100" workbookViewId="0">
      <selection activeCell="A34" sqref="A34:K34"/>
    </sheetView>
  </sheetViews>
  <sheetFormatPr baseColWidth="10" defaultColWidth="7.140625" defaultRowHeight="13.5" x14ac:dyDescent="0.2"/>
  <cols>
    <col min="1" max="17" width="9.140625" style="1" customWidth="1"/>
    <col min="18" max="16384" width="7.140625" style="1"/>
  </cols>
  <sheetData>
    <row r="1" spans="1:11" ht="162" customHeight="1" thickBot="1" x14ac:dyDescent="0.25">
      <c r="A1" s="163" t="s">
        <v>122</v>
      </c>
      <c r="B1" s="164"/>
      <c r="C1" s="164"/>
      <c r="D1" s="164"/>
      <c r="E1" s="164"/>
      <c r="F1" s="164"/>
      <c r="G1" s="164"/>
      <c r="H1" s="164"/>
      <c r="I1" s="164"/>
      <c r="J1" s="164"/>
      <c r="K1" s="165"/>
    </row>
    <row r="2" spans="1:11" ht="15.75" thickBot="1" x14ac:dyDescent="0.25">
      <c r="A2" s="132"/>
      <c r="B2" s="132"/>
      <c r="C2" s="132"/>
      <c r="D2" s="132"/>
      <c r="E2" s="132"/>
      <c r="F2" s="132"/>
      <c r="G2" s="132"/>
    </row>
    <row r="3" spans="1:11" ht="15.75" customHeight="1" thickBot="1" x14ac:dyDescent="0.25">
      <c r="A3" s="169" t="s">
        <v>78</v>
      </c>
      <c r="B3" s="170"/>
      <c r="C3" s="170"/>
      <c r="D3" s="170"/>
      <c r="E3" s="170"/>
      <c r="F3" s="170"/>
      <c r="G3" s="170"/>
      <c r="H3" s="170"/>
      <c r="I3" s="170"/>
      <c r="J3" s="170"/>
      <c r="K3" s="171"/>
    </row>
    <row r="4" spans="1:11" ht="15.75" thickBot="1" x14ac:dyDescent="0.3">
      <c r="A4"/>
      <c r="B4"/>
      <c r="C4"/>
      <c r="D4"/>
      <c r="E4"/>
      <c r="F4"/>
      <c r="G4"/>
    </row>
    <row r="5" spans="1:11" ht="164.1" customHeight="1" thickBot="1" x14ac:dyDescent="0.25">
      <c r="A5" s="163" t="s">
        <v>124</v>
      </c>
      <c r="B5" s="164"/>
      <c r="C5" s="164"/>
      <c r="D5" s="164"/>
      <c r="E5" s="164"/>
      <c r="F5" s="164"/>
      <c r="G5" s="164"/>
      <c r="H5" s="164"/>
      <c r="I5" s="164"/>
      <c r="J5" s="164"/>
      <c r="K5" s="165"/>
    </row>
    <row r="6" spans="1:11" ht="15.75" thickBot="1" x14ac:dyDescent="0.3">
      <c r="A6"/>
      <c r="B6"/>
      <c r="C6"/>
      <c r="D6"/>
      <c r="E6"/>
      <c r="F6"/>
      <c r="G6"/>
    </row>
    <row r="7" spans="1:11" ht="16.5" customHeight="1" thickBot="1" x14ac:dyDescent="0.25">
      <c r="A7" s="163" t="s">
        <v>123</v>
      </c>
      <c r="B7" s="164"/>
      <c r="C7" s="164"/>
      <c r="D7" s="164"/>
      <c r="E7" s="164"/>
      <c r="F7" s="164"/>
      <c r="G7" s="164"/>
      <c r="H7" s="164"/>
      <c r="I7" s="164"/>
      <c r="J7" s="164"/>
      <c r="K7" s="165"/>
    </row>
    <row r="8" spans="1:11" ht="15.75" thickBot="1" x14ac:dyDescent="0.3">
      <c r="A8"/>
      <c r="B8"/>
      <c r="C8"/>
      <c r="D8"/>
      <c r="E8"/>
      <c r="F8"/>
      <c r="G8"/>
    </row>
    <row r="9" spans="1:11" ht="72.95" customHeight="1" thickBot="1" x14ac:dyDescent="0.25">
      <c r="A9" s="163" t="s">
        <v>125</v>
      </c>
      <c r="B9" s="164"/>
      <c r="C9" s="164"/>
      <c r="D9" s="164"/>
      <c r="E9" s="164"/>
      <c r="F9" s="164"/>
      <c r="G9" s="164"/>
      <c r="H9" s="164"/>
      <c r="I9" s="164"/>
      <c r="J9" s="164"/>
      <c r="K9" s="165"/>
    </row>
    <row r="10" spans="1:11" ht="15.75" thickBot="1" x14ac:dyDescent="0.3">
      <c r="A10"/>
      <c r="B10"/>
      <c r="C10"/>
      <c r="D10"/>
      <c r="E10"/>
      <c r="F10"/>
      <c r="G10"/>
    </row>
    <row r="11" spans="1:11" ht="131.44999999999999" customHeight="1" thickBot="1" x14ac:dyDescent="0.25">
      <c r="A11" s="163" t="s">
        <v>126</v>
      </c>
      <c r="B11" s="164"/>
      <c r="C11" s="164"/>
      <c r="D11" s="164"/>
      <c r="E11" s="164"/>
      <c r="F11" s="164"/>
      <c r="G11" s="164"/>
      <c r="H11" s="164"/>
      <c r="I11" s="164"/>
      <c r="J11" s="164"/>
      <c r="K11" s="165"/>
    </row>
    <row r="12" spans="1:11" ht="15.75" thickBot="1" x14ac:dyDescent="0.25">
      <c r="A12" s="157"/>
      <c r="B12" s="157"/>
      <c r="C12" s="157"/>
      <c r="D12" s="157"/>
      <c r="E12" s="157"/>
      <c r="F12" s="157"/>
      <c r="G12" s="157"/>
      <c r="H12" s="157"/>
      <c r="I12" s="157"/>
      <c r="J12" s="157"/>
      <c r="K12" s="157"/>
    </row>
    <row r="13" spans="1:11" ht="49.5" customHeight="1" thickBot="1" x14ac:dyDescent="0.25">
      <c r="A13" s="163" t="s">
        <v>127</v>
      </c>
      <c r="B13" s="164"/>
      <c r="C13" s="164"/>
      <c r="D13" s="164"/>
      <c r="E13" s="164"/>
      <c r="F13" s="164"/>
      <c r="G13" s="164"/>
      <c r="H13" s="164"/>
      <c r="I13" s="164"/>
      <c r="J13" s="164"/>
      <c r="K13" s="165"/>
    </row>
    <row r="14" spans="1:11" ht="144.75" customHeight="1" thickBot="1" x14ac:dyDescent="0.3">
      <c r="A14"/>
      <c r="B14"/>
      <c r="C14"/>
      <c r="D14"/>
      <c r="E14"/>
      <c r="F14"/>
      <c r="G14"/>
    </row>
    <row r="15" spans="1:11" ht="32.25" customHeight="1" thickBot="1" x14ac:dyDescent="0.25">
      <c r="A15" s="169" t="s">
        <v>75</v>
      </c>
      <c r="B15" s="170"/>
      <c r="C15" s="170"/>
      <c r="D15" s="170"/>
      <c r="E15" s="170"/>
      <c r="F15" s="170"/>
      <c r="G15" s="170"/>
      <c r="H15" s="170"/>
      <c r="I15" s="170"/>
      <c r="J15" s="170"/>
      <c r="K15" s="171"/>
    </row>
    <row r="16" spans="1:11" ht="15.75" thickBot="1" x14ac:dyDescent="0.3">
      <c r="A16"/>
      <c r="B16"/>
      <c r="C16"/>
      <c r="D16"/>
      <c r="E16"/>
      <c r="F16"/>
      <c r="G16"/>
    </row>
    <row r="17" spans="1:11" ht="120" customHeight="1" thickBot="1" x14ac:dyDescent="0.25">
      <c r="A17" s="163" t="s">
        <v>132</v>
      </c>
      <c r="B17" s="164"/>
      <c r="C17" s="164"/>
      <c r="D17" s="164"/>
      <c r="E17" s="164"/>
      <c r="F17" s="164"/>
      <c r="G17" s="164"/>
      <c r="H17" s="164"/>
      <c r="I17" s="164"/>
      <c r="J17" s="164"/>
      <c r="K17" s="165"/>
    </row>
    <row r="18" spans="1:11" ht="15.75" thickBot="1" x14ac:dyDescent="0.3">
      <c r="A18"/>
      <c r="B18"/>
      <c r="C18"/>
      <c r="D18"/>
      <c r="E18"/>
      <c r="F18"/>
      <c r="G18"/>
    </row>
    <row r="19" spans="1:11" ht="17.25" customHeight="1" thickBot="1" x14ac:dyDescent="0.25">
      <c r="A19" s="163" t="s">
        <v>133</v>
      </c>
      <c r="B19" s="164"/>
      <c r="C19" s="164"/>
      <c r="D19" s="164"/>
      <c r="E19" s="164"/>
      <c r="F19" s="164"/>
      <c r="G19" s="164"/>
      <c r="H19" s="164"/>
      <c r="I19" s="164"/>
      <c r="J19" s="164"/>
      <c r="K19" s="165"/>
    </row>
    <row r="20" spans="1:11" ht="9" customHeight="1" x14ac:dyDescent="0.25">
      <c r="A20"/>
      <c r="B20"/>
      <c r="C20"/>
      <c r="D20"/>
      <c r="E20"/>
      <c r="F20"/>
      <c r="G20"/>
    </row>
    <row r="21" spans="1:11" ht="15.75" hidden="1" customHeight="1" x14ac:dyDescent="0.2"/>
    <row r="22" spans="1:11" hidden="1" x14ac:dyDescent="0.2"/>
    <row r="23" spans="1:11" ht="12.75" customHeight="1" thickBot="1" x14ac:dyDescent="0.25"/>
    <row r="24" spans="1:11" ht="15.75" thickBot="1" x14ac:dyDescent="0.25">
      <c r="A24" s="169" t="s">
        <v>130</v>
      </c>
      <c r="B24" s="170"/>
      <c r="C24" s="170"/>
      <c r="D24" s="170"/>
      <c r="E24" s="170"/>
      <c r="F24" s="170"/>
      <c r="G24" s="170"/>
      <c r="H24" s="170"/>
      <c r="I24" s="170"/>
      <c r="J24" s="170"/>
      <c r="K24" s="171"/>
    </row>
    <row r="25" spans="1:11" ht="15.75" thickBot="1" x14ac:dyDescent="0.3">
      <c r="A25"/>
      <c r="B25"/>
      <c r="C25"/>
      <c r="D25"/>
      <c r="E25"/>
      <c r="F25"/>
      <c r="G25"/>
    </row>
    <row r="26" spans="1:11" ht="64.5" customHeight="1" thickBot="1" x14ac:dyDescent="0.25">
      <c r="A26" s="163" t="s">
        <v>116</v>
      </c>
      <c r="B26" s="164"/>
      <c r="C26" s="164"/>
      <c r="D26" s="164"/>
      <c r="E26" s="164"/>
      <c r="F26" s="164"/>
      <c r="G26" s="164"/>
      <c r="H26" s="164"/>
      <c r="I26" s="164"/>
      <c r="J26" s="164"/>
      <c r="K26" s="165"/>
    </row>
    <row r="27" spans="1:11" ht="14.25" thickBot="1" x14ac:dyDescent="0.25"/>
    <row r="28" spans="1:11" ht="48.75" customHeight="1" thickBot="1" x14ac:dyDescent="0.25">
      <c r="A28" s="166" t="s">
        <v>129</v>
      </c>
      <c r="B28" s="167"/>
      <c r="C28" s="167"/>
      <c r="D28" s="167"/>
      <c r="E28" s="167"/>
      <c r="F28" s="167"/>
      <c r="G28" s="167"/>
      <c r="H28" s="167"/>
      <c r="I28" s="167"/>
      <c r="J28" s="167"/>
      <c r="K28" s="168"/>
    </row>
    <row r="29" spans="1:11" ht="15.75" customHeight="1" thickBot="1" x14ac:dyDescent="0.3">
      <c r="A29"/>
      <c r="B29"/>
      <c r="C29"/>
      <c r="D29"/>
      <c r="E29"/>
      <c r="F29"/>
      <c r="G29"/>
    </row>
    <row r="30" spans="1:11" ht="77.25" customHeight="1" thickBot="1" x14ac:dyDescent="0.25">
      <c r="A30" s="163" t="s">
        <v>128</v>
      </c>
      <c r="B30" s="164"/>
      <c r="C30" s="164"/>
      <c r="D30" s="164"/>
      <c r="E30" s="164"/>
      <c r="F30" s="164"/>
      <c r="G30" s="164"/>
      <c r="H30" s="164"/>
      <c r="I30" s="164"/>
      <c r="J30" s="164"/>
      <c r="K30" s="165"/>
    </row>
    <row r="31" spans="1:11" ht="15.75" customHeight="1" thickBot="1" x14ac:dyDescent="0.3">
      <c r="A31"/>
      <c r="B31"/>
      <c r="C31"/>
      <c r="D31"/>
      <c r="E31"/>
      <c r="F31"/>
      <c r="G31"/>
    </row>
    <row r="32" spans="1:11" ht="31.5" customHeight="1" thickBot="1" x14ac:dyDescent="0.25">
      <c r="A32" s="163" t="s">
        <v>142</v>
      </c>
      <c r="B32" s="164"/>
      <c r="C32" s="164"/>
      <c r="D32" s="164"/>
      <c r="E32" s="164"/>
      <c r="F32" s="164"/>
      <c r="G32" s="164"/>
      <c r="H32" s="164"/>
      <c r="I32" s="164"/>
      <c r="J32" s="164"/>
      <c r="K32" s="165"/>
    </row>
    <row r="33" spans="1:11" ht="15.75" customHeight="1" thickBot="1" x14ac:dyDescent="0.3">
      <c r="A33"/>
      <c r="B33"/>
      <c r="C33"/>
      <c r="D33"/>
      <c r="E33"/>
      <c r="F33"/>
      <c r="G33"/>
    </row>
    <row r="34" spans="1:11" ht="62.25" customHeight="1" thickBot="1" x14ac:dyDescent="0.25">
      <c r="A34" s="163" t="s">
        <v>114</v>
      </c>
      <c r="B34" s="164"/>
      <c r="C34" s="164"/>
      <c r="D34" s="164"/>
      <c r="E34" s="164"/>
      <c r="F34" s="164"/>
      <c r="G34" s="164"/>
      <c r="H34" s="164"/>
      <c r="I34" s="164"/>
      <c r="J34" s="164"/>
      <c r="K34" s="165"/>
    </row>
    <row r="35" spans="1:11" ht="15.75" thickBot="1" x14ac:dyDescent="0.3">
      <c r="A35"/>
      <c r="B35"/>
      <c r="C35"/>
      <c r="D35"/>
      <c r="E35"/>
      <c r="F35"/>
      <c r="G35"/>
    </row>
    <row r="36" spans="1:11" ht="15.75" thickBot="1" x14ac:dyDescent="0.25">
      <c r="A36" s="163" t="s">
        <v>76</v>
      </c>
      <c r="B36" s="164"/>
      <c r="C36" s="164"/>
      <c r="D36" s="164"/>
      <c r="E36" s="164"/>
      <c r="F36" s="164"/>
      <c r="G36" s="164"/>
      <c r="H36" s="164"/>
      <c r="I36" s="164"/>
      <c r="J36" s="164"/>
      <c r="K36" s="165"/>
    </row>
    <row r="37" spans="1:11" ht="15.75" customHeight="1" thickBot="1" x14ac:dyDescent="0.3">
      <c r="A37"/>
      <c r="B37"/>
      <c r="C37"/>
      <c r="D37"/>
      <c r="E37"/>
      <c r="F37"/>
      <c r="G37"/>
    </row>
    <row r="38" spans="1:11" ht="16.5" customHeight="1" thickBot="1" x14ac:dyDescent="0.25">
      <c r="A38" s="163" t="s">
        <v>112</v>
      </c>
      <c r="B38" s="164"/>
      <c r="C38" s="164"/>
      <c r="D38" s="164"/>
      <c r="E38" s="164"/>
      <c r="F38" s="164"/>
      <c r="G38" s="164"/>
      <c r="H38" s="164"/>
      <c r="I38" s="164"/>
      <c r="J38" s="164"/>
      <c r="K38" s="165"/>
    </row>
    <row r="39" spans="1:11" ht="14.25" thickBot="1" x14ac:dyDescent="0.25"/>
    <row r="40" spans="1:11" ht="30.95" customHeight="1" thickBot="1" x14ac:dyDescent="0.25">
      <c r="A40" s="163" t="s">
        <v>131</v>
      </c>
      <c r="B40" s="164"/>
      <c r="C40" s="164"/>
      <c r="D40" s="164"/>
      <c r="E40" s="164"/>
      <c r="F40" s="164"/>
      <c r="G40" s="164"/>
      <c r="H40" s="164"/>
      <c r="I40" s="164"/>
      <c r="J40" s="164"/>
      <c r="K40" s="165"/>
    </row>
  </sheetData>
  <sheetProtection formatCells="0" selectLockedCells="1" selectUnlockedCells="1"/>
  <dataConsolidate/>
  <mergeCells count="19">
    <mergeCell ref="A15:K15"/>
    <mergeCell ref="A17:K17"/>
    <mergeCell ref="A19:K19"/>
    <mergeCell ref="A24:K24"/>
    <mergeCell ref="A11:K11"/>
    <mergeCell ref="A13:K13"/>
    <mergeCell ref="A1:K1"/>
    <mergeCell ref="A3:K3"/>
    <mergeCell ref="A5:K5"/>
    <mergeCell ref="A7:K7"/>
    <mergeCell ref="A9:K9"/>
    <mergeCell ref="A40:K40"/>
    <mergeCell ref="A38:K38"/>
    <mergeCell ref="A26:K26"/>
    <mergeCell ref="A28:K28"/>
    <mergeCell ref="A30:K30"/>
    <mergeCell ref="A32:K32"/>
    <mergeCell ref="A34:K34"/>
    <mergeCell ref="A36:K36"/>
  </mergeCells>
  <dataValidations disablePrompts="1" count="1">
    <dataValidation type="whole" showInputMessage="1" showErrorMessage="1" errorTitle="Eingabefehler" error="Bitte einen Wert zwischen 0 und 360 eingeben. " sqref="B4:F4" xr:uid="{00000000-0002-0000-0000-000000000000}">
      <formula1>0</formula1>
      <formula2>360</formula2>
    </dataValidation>
  </dataValidations>
  <pageMargins left="0.78740157480314965" right="0.59055118110236227" top="1.3779527559055118" bottom="0.47244094488188981" header="0.19685039370078741" footer="0.19685039370078741"/>
  <pageSetup paperSize="9" scale="83" fitToWidth="0" fitToHeight="0" orientation="portrait" r:id="rId1"/>
  <headerFooter differentFirst="1" scaleWithDoc="0">
    <oddHeader>&amp;R&amp;"Arial,Standard"&amp;8&amp;G</oddHeader>
    <oddFooter>&amp;L&amp;"Arial,Standard"&amp;8  17.01.2020&amp;R&amp;"Arial,Standard"&amp;8&amp;P/&amp;N</oddFooter>
    <firstHeader>&amp;L&amp;"Arial,Standard"&amp;10&amp;G&amp;"Arial Black,Standard"&amp;14
&amp;12Erläuterungen&amp;R&amp;"Arial Black,Standard"&amp;8Amt für Jugend und Berufsberatung
&amp;"Arial,Standard"Trägerschaften</firstHeader>
    <firstFooter>&amp;L&amp;"Arial,Standard"&amp;8  17.01.2020&amp;R&amp;"Arial,Standard"&amp;8&amp;P/&amp;N</firstFooter>
  </headerFooter>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1000000}">
          <x14:formula1>
            <xm:f>Berechnungsgrundlagen!$E$2:$E$7</xm:f>
          </x14:formula1>
          <xm:sqref>B6:F6 B8:F8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tabSelected="1" view="pageLayout" zoomScaleNormal="100" workbookViewId="0">
      <selection activeCell="C17" sqref="C17"/>
    </sheetView>
  </sheetViews>
  <sheetFormatPr baseColWidth="10" defaultColWidth="7.140625" defaultRowHeight="13.5" x14ac:dyDescent="0.2"/>
  <cols>
    <col min="1" max="6" width="25.28515625" style="1" customWidth="1"/>
    <col min="7" max="17" width="9.140625" style="1" customWidth="1"/>
    <col min="18" max="16384" width="7.140625" style="1"/>
  </cols>
  <sheetData>
    <row r="1" spans="1:6" ht="15.75" thickBot="1" x14ac:dyDescent="0.3">
      <c r="A1" s="10"/>
      <c r="B1" s="11" t="s">
        <v>105</v>
      </c>
      <c r="C1" s="12" t="s">
        <v>106</v>
      </c>
      <c r="D1" s="12" t="s">
        <v>107</v>
      </c>
      <c r="E1" s="12" t="s">
        <v>108</v>
      </c>
      <c r="F1" s="13" t="s">
        <v>109</v>
      </c>
    </row>
    <row r="2" spans="1:6" ht="15" x14ac:dyDescent="0.25">
      <c r="A2" s="7" t="s">
        <v>17</v>
      </c>
      <c r="B2" s="121"/>
      <c r="C2" s="122"/>
      <c r="D2" s="122"/>
      <c r="E2" s="122"/>
      <c r="F2" s="122"/>
    </row>
    <row r="3" spans="1:6" ht="15" x14ac:dyDescent="0.25">
      <c r="A3" s="5" t="s">
        <v>6</v>
      </c>
      <c r="B3" s="4"/>
      <c r="C3" s="4"/>
      <c r="D3" s="4"/>
      <c r="E3" s="4"/>
      <c r="F3" s="4"/>
    </row>
    <row r="4" spans="1:6" ht="15" x14ac:dyDescent="0.25">
      <c r="A4" s="5" t="s">
        <v>49</v>
      </c>
      <c r="B4" s="120"/>
      <c r="C4" s="120"/>
      <c r="D4" s="120"/>
      <c r="E4" s="120"/>
      <c r="F4" s="120"/>
    </row>
    <row r="5" spans="1:6" ht="15" x14ac:dyDescent="0.25">
      <c r="A5" s="5" t="s">
        <v>28</v>
      </c>
      <c r="B5" s="4"/>
      <c r="C5" s="4"/>
      <c r="D5" s="4"/>
      <c r="E5" s="4"/>
      <c r="F5" s="4"/>
    </row>
    <row r="6" spans="1:6" ht="15" x14ac:dyDescent="0.25">
      <c r="A6" s="5" t="s">
        <v>37</v>
      </c>
      <c r="B6" s="4"/>
      <c r="C6" s="4"/>
      <c r="D6" s="4"/>
      <c r="E6" s="4"/>
      <c r="F6" s="4"/>
    </row>
    <row r="7" spans="1:6" ht="15" x14ac:dyDescent="0.25">
      <c r="A7" s="5" t="s">
        <v>37</v>
      </c>
      <c r="B7" s="4"/>
      <c r="C7" s="4"/>
      <c r="D7" s="4"/>
      <c r="E7" s="4"/>
      <c r="F7" s="4"/>
    </row>
    <row r="8" spans="1:6" ht="15" x14ac:dyDescent="0.25">
      <c r="A8" s="5" t="s">
        <v>37</v>
      </c>
      <c r="B8" s="4"/>
      <c r="C8" s="4"/>
      <c r="D8" s="4"/>
      <c r="E8" s="4"/>
      <c r="F8" s="4"/>
    </row>
    <row r="9" spans="1:6" ht="15" x14ac:dyDescent="0.25">
      <c r="A9" s="5" t="s">
        <v>37</v>
      </c>
      <c r="B9" s="4"/>
      <c r="C9" s="4"/>
      <c r="D9" s="4"/>
      <c r="E9" s="4"/>
      <c r="F9" s="4"/>
    </row>
    <row r="11" spans="1:6" ht="15" x14ac:dyDescent="0.25">
      <c r="A11" s="5" t="s">
        <v>115</v>
      </c>
      <c r="B11" s="120"/>
      <c r="C11" s="120"/>
      <c r="D11" s="120"/>
      <c r="E11" s="120"/>
      <c r="F11" s="120"/>
    </row>
    <row r="12" spans="1:6" ht="15" x14ac:dyDescent="0.25">
      <c r="A12" s="5" t="s">
        <v>120</v>
      </c>
      <c r="B12" s="162"/>
      <c r="C12" s="162"/>
      <c r="D12" s="162"/>
      <c r="E12" s="162"/>
      <c r="F12" s="162"/>
    </row>
    <row r="13" spans="1:6" ht="14.25" thickBot="1" x14ac:dyDescent="0.25"/>
    <row r="14" spans="1:6" ht="15.75" thickBot="1" x14ac:dyDescent="0.3">
      <c r="A14" s="150" t="s">
        <v>42</v>
      </c>
      <c r="B14" s="134">
        <f>ROUND(Berechnungen!B2*20,0)/20</f>
        <v>0</v>
      </c>
      <c r="C14" s="134">
        <f>ROUND(Berechnungen!C2*20,0)/20</f>
        <v>0</v>
      </c>
      <c r="D14" s="134">
        <f>ROUND(Berechnungen!D2*20,0)/20</f>
        <v>0</v>
      </c>
      <c r="E14" s="134">
        <f>ROUND(Berechnungen!E2*20,0)/20</f>
        <v>0</v>
      </c>
      <c r="F14" s="71">
        <f>ROUND(Berechnungen!F2*20,0)/20</f>
        <v>0</v>
      </c>
    </row>
    <row r="15" spans="1:6" ht="14.25" thickBot="1" x14ac:dyDescent="0.25"/>
    <row r="16" spans="1:6" ht="15.75" customHeight="1" thickBot="1" x14ac:dyDescent="0.25">
      <c r="A16" s="135" t="s">
        <v>43</v>
      </c>
      <c r="B16" s="71">
        <f>SUM(B14:F14)</f>
        <v>0</v>
      </c>
    </row>
    <row r="18" spans="1:6" ht="14.25" thickBot="1" x14ac:dyDescent="0.25"/>
    <row r="19" spans="1:6" ht="15.75" thickBot="1" x14ac:dyDescent="0.3">
      <c r="A19" s="138" t="s">
        <v>20</v>
      </c>
      <c r="B19" s="150" t="s">
        <v>134</v>
      </c>
      <c r="C19" s="149"/>
      <c r="D19" s="149"/>
      <c r="E19" s="149"/>
      <c r="F19" s="151"/>
    </row>
    <row r="20" spans="1:6" ht="14.25" thickBot="1" x14ac:dyDescent="0.25">
      <c r="A20" s="139"/>
      <c r="B20" s="136"/>
      <c r="C20" s="136"/>
      <c r="D20" s="136"/>
      <c r="E20" s="136"/>
      <c r="F20" s="137"/>
    </row>
    <row r="21" spans="1:6" ht="15.75" thickBot="1" x14ac:dyDescent="0.3">
      <c r="A21" s="148"/>
      <c r="B21" s="158" t="s">
        <v>105</v>
      </c>
      <c r="C21" s="159" t="s">
        <v>106</v>
      </c>
      <c r="D21" s="159" t="s">
        <v>107</v>
      </c>
      <c r="E21" s="159" t="s">
        <v>108</v>
      </c>
      <c r="F21" s="160" t="s">
        <v>109</v>
      </c>
    </row>
    <row r="22" spans="1:6" ht="24" customHeight="1" x14ac:dyDescent="0.2">
      <c r="A22" s="152" t="s">
        <v>135</v>
      </c>
      <c r="B22" s="140">
        <f>ROUND(((Berechnungen!B9+Berechnungen!B34)/4)*20,0)/20</f>
        <v>0</v>
      </c>
      <c r="C22" s="141">
        <f>ROUND(((Berechnungen!C9+Berechnungen!C34)/4)*20,0)/20</f>
        <v>0</v>
      </c>
      <c r="D22" s="141">
        <f>ROUND(((Berechnungen!D9+Berechnungen!D34)/4)*20,0)/20</f>
        <v>0</v>
      </c>
      <c r="E22" s="141">
        <f>ROUND(((Berechnungen!E9+Berechnungen!E34)/4)*20,0)/20</f>
        <v>0</v>
      </c>
      <c r="F22" s="142">
        <f>ROUND(((Berechnungen!F9+Berechnungen!F34)/4)*20,0)/20</f>
        <v>0</v>
      </c>
    </row>
    <row r="23" spans="1:6" ht="24" customHeight="1" x14ac:dyDescent="0.2">
      <c r="A23" s="155" t="s">
        <v>136</v>
      </c>
      <c r="B23" s="143">
        <f>ROUND(IF(Berechnungen!B29+Berechnungen!B17&gt;0,Berechnungen!B9/2,0)*20,0)/20</f>
        <v>0</v>
      </c>
      <c r="C23" s="70">
        <f>ROUND(IF(Berechnungen!C29+Berechnungen!C17&gt;0,Berechnungen!C9/2,0)*20,0)/20</f>
        <v>0</v>
      </c>
      <c r="D23" s="70">
        <f>ROUND(IF(Berechnungen!D29+Berechnungen!D17&gt;0,Berechnungen!D9/2,0)*20,0)/20</f>
        <v>0</v>
      </c>
      <c r="E23" s="70">
        <f>ROUND(IF(Berechnungen!E29+Berechnungen!E17&gt;0,Berechnungen!E9/2,0)*20,0)/20</f>
        <v>0</v>
      </c>
      <c r="F23" s="144">
        <f>ROUND(IF(Berechnungen!F29+Berechnungen!F17&gt;0,Berechnungen!F9/2,0)*20,0)/20</f>
        <v>0</v>
      </c>
    </row>
    <row r="24" spans="1:6" ht="24" customHeight="1" thickBot="1" x14ac:dyDescent="0.25">
      <c r="A24" s="153" t="s">
        <v>137</v>
      </c>
      <c r="B24" s="145">
        <f>IF(ROUND((Berechnungen!B2-Berechnungen!B9)*20,0)/20&lt;0,0,ROUND((Berechnungen!B2-Berechnungen!B9)*20,0)/20)</f>
        <v>0</v>
      </c>
      <c r="C24" s="146">
        <f>IF(ROUND((Berechnungen!C2-Berechnungen!C9)*20,0)/20&lt;0,0,ROUND((Berechnungen!C2-Berechnungen!C9)*20,0)/20)</f>
        <v>0</v>
      </c>
      <c r="D24" s="146">
        <f>IF(ROUND((Berechnungen!D2-Berechnungen!D9)*20,0)/20&lt;0,0,ROUND((Berechnungen!D2-Berechnungen!D9)*20,0)/20)</f>
        <v>0</v>
      </c>
      <c r="E24" s="146">
        <f>IF(ROUND((Berechnungen!E2-Berechnungen!E9)*20,0)/20&lt;0,0,ROUND((Berechnungen!E2-Berechnungen!E9)*20,0)/20)</f>
        <v>0</v>
      </c>
      <c r="F24" s="147">
        <f>IF(ROUND((Berechnungen!F2-Berechnungen!F9)*20,0)/20&lt;0,0,ROUND((Berechnungen!F2-Berechnungen!F9)*20,0)/20)</f>
        <v>0</v>
      </c>
    </row>
  </sheetData>
  <sheetProtection formatCells="0" selectLockedCells="1" selectUnlockedCells="1"/>
  <dataConsolidate/>
  <dataValidations count="4">
    <dataValidation type="whole" showInputMessage="1" showErrorMessage="1" errorTitle="Eingabefehler" error="Bitte einen Wert zwischen 0 und 360 eingeben. " sqref="B4:F4" xr:uid="{00000000-0002-0000-0100-000000000000}">
      <formula1>0</formula1>
      <formula2>360</formula2>
    </dataValidation>
    <dataValidation type="whole" allowBlank="1" showInputMessage="1" showErrorMessage="1" errorTitle="Wert" error="Bitte geben Sie einen Wert zwischen 0 und 100 ein." promptTitle="Sofern Zusatz u4 ausgewählt" prompt="Bitte geben Sie einen Wert zwischen 0 und 100 an, welcher der durchschnittlichen Auslastung im u4-Bereich der letzten drei Jahre entspricht." sqref="C12:F12" xr:uid="{00000000-0002-0000-0100-000001000000}">
      <formula1>0</formula1>
      <formula2>100</formula2>
    </dataValidation>
    <dataValidation type="whole" allowBlank="1" showInputMessage="1" promptTitle="Notfallplätze" prompt="Sofern der Zusatz &quot;Notfallplatzierung&quot; ausgewählt wurde, geben Sie bitte die Anzahl Notfallplätze auf der Gruppe an." sqref="B11:F11" xr:uid="{00000000-0002-0000-0100-000002000000}">
      <formula1>1</formula1>
      <formula2>100</formula2>
    </dataValidation>
    <dataValidation type="whole" allowBlank="1" showInputMessage="1" showErrorMessage="1" errorTitle="Wert" error="Bitte geben Sie einen Wert zwischen 0 und 100 ein." promptTitle="Sofern Zusatz u2 ausgewählt" prompt="Bitte geben Sie einen Wert zwischen 0 und 100 an, welcher der durchschnittlichen Auslastung im u2-Bereich der letzten drei Jahre entspricht." sqref="B12" xr:uid="{00000000-0002-0000-0100-000003000000}">
      <formula1>0</formula1>
      <formula2>100</formula2>
    </dataValidation>
  </dataValidations>
  <pageMargins left="0.78740157480314965" right="0.59055118110236227" top="1.3779527559055118" bottom="0.47244094488188981" header="0.19685039370078741" footer="0.19685039370078741"/>
  <pageSetup paperSize="9" scale="83" fitToWidth="0" fitToHeight="0" orientation="landscape" r:id="rId1"/>
  <headerFooter differentFirst="1" scaleWithDoc="0">
    <oddHeader>&amp;R&amp;"Arial,Standard"&amp;8&amp;G</oddHeader>
    <oddFooter>&amp;L&amp;"Arial,Standard"&amp;8  17.01.2020&amp;R&amp;"Arial,Standard"&amp;8&amp;P/&amp;N</oddFooter>
    <firstHeader>&amp;L&amp;"Arial,Standard"&amp;10&amp;G&amp;"Arial Black,Standard"&amp;14
&amp;12Stellenplan Betreutes Wohnen&amp;R&amp;"Arial Black,Standard"&amp;8Amt für Jugend und Berufsberatung
&amp;"Arial,Standard"Trägerschaften</firstHeader>
    <firstFooter>&amp;L&amp;"Arial,Standard"&amp;8  17.01.2020&amp;R&amp;"Arial,Standard"&amp;8&amp;P/&amp;N</firstFooter>
  </headerFooter>
  <legacyDrawingHF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4000000}">
          <x14:formula1>
            <xm:f>Berechnungsgrundlagen!$A$10:$A$14</xm:f>
          </x14:formula1>
          <xm:sqref>B3:F3</xm:sqref>
        </x14:dataValidation>
        <x14:dataValidation type="list" showInputMessage="1" showErrorMessage="1" xr:uid="{00000000-0002-0000-0100-000005000000}">
          <x14:formula1>
            <xm:f>Berechnungsgrundlagen!$I$22:$I$26</xm:f>
          </x14:formula1>
          <xm:sqref>B5:F5</xm:sqref>
        </x14:dataValidation>
        <x14:dataValidation type="list" showInputMessage="1" showErrorMessage="1" xr:uid="{00000000-0002-0000-0100-000006000000}">
          <x14:formula1>
            <xm:f>Berechnungsgrundlagen!$E$2:$E$7</xm:f>
          </x14:formula1>
          <xm:sqref>B6:F9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showGridLines="0" view="pageLayout" zoomScaleNormal="100" workbookViewId="0">
      <selection activeCell="A15" sqref="A15"/>
    </sheetView>
  </sheetViews>
  <sheetFormatPr baseColWidth="10" defaultColWidth="7.140625" defaultRowHeight="13.5" x14ac:dyDescent="0.2"/>
  <cols>
    <col min="1" max="6" width="25.28515625" style="1" customWidth="1"/>
    <col min="7" max="17" width="9.140625" style="1" customWidth="1"/>
    <col min="18" max="16384" width="7.140625" style="1"/>
  </cols>
  <sheetData>
    <row r="1" spans="1:6" ht="15.75" thickBot="1" x14ac:dyDescent="0.3">
      <c r="A1" s="10"/>
      <c r="B1" s="11" t="s">
        <v>105</v>
      </c>
      <c r="C1" s="12" t="s">
        <v>106</v>
      </c>
      <c r="D1" s="12" t="s">
        <v>107</v>
      </c>
      <c r="E1" s="12" t="s">
        <v>108</v>
      </c>
      <c r="F1" s="13" t="s">
        <v>109</v>
      </c>
    </row>
    <row r="2" spans="1:6" ht="15" x14ac:dyDescent="0.25">
      <c r="A2" s="7" t="s">
        <v>17</v>
      </c>
      <c r="B2" s="121"/>
      <c r="C2" s="122"/>
      <c r="D2" s="122"/>
      <c r="E2" s="122"/>
      <c r="F2" s="122"/>
    </row>
    <row r="3" spans="1:6" ht="15" x14ac:dyDescent="0.25">
      <c r="A3" s="5" t="s">
        <v>6</v>
      </c>
      <c r="B3" s="120"/>
      <c r="C3" s="120"/>
      <c r="D3" s="120"/>
      <c r="E3" s="120"/>
      <c r="F3" s="120"/>
    </row>
    <row r="4" spans="1:6" ht="15.75" thickBot="1" x14ac:dyDescent="0.3">
      <c r="A4" s="6" t="s">
        <v>37</v>
      </c>
      <c r="B4" s="124"/>
      <c r="C4" s="120"/>
      <c r="D4" s="120"/>
      <c r="E4" s="120"/>
      <c r="F4" s="120"/>
    </row>
    <row r="5" spans="1:6" ht="14.25" thickBot="1" x14ac:dyDescent="0.25"/>
    <row r="6" spans="1:6" ht="15.75" thickBot="1" x14ac:dyDescent="0.3">
      <c r="A6" s="10" t="s">
        <v>42</v>
      </c>
      <c r="B6" s="133">
        <f>Berechnungen!I2</f>
        <v>0</v>
      </c>
      <c r="C6" s="134">
        <f>Berechnungen!J2</f>
        <v>0</v>
      </c>
      <c r="D6" s="134">
        <f>Berechnungen!K2</f>
        <v>0</v>
      </c>
      <c r="E6" s="134">
        <f>Berechnungen!L2</f>
        <v>0</v>
      </c>
      <c r="F6" s="71">
        <f>Berechnungen!M2</f>
        <v>0</v>
      </c>
    </row>
    <row r="7" spans="1:6" ht="14.25" thickBot="1" x14ac:dyDescent="0.25"/>
    <row r="8" spans="1:6" ht="15.75" customHeight="1" thickBot="1" x14ac:dyDescent="0.25">
      <c r="A8" s="135" t="s">
        <v>43</v>
      </c>
      <c r="B8" s="71">
        <f>SUM(B6:F6)</f>
        <v>0</v>
      </c>
    </row>
    <row r="10" spans="1:6" ht="14.25" thickBot="1" x14ac:dyDescent="0.25"/>
    <row r="11" spans="1:6" ht="15.75" thickBot="1" x14ac:dyDescent="0.3">
      <c r="A11" s="138" t="s">
        <v>20</v>
      </c>
      <c r="B11" s="150" t="s">
        <v>134</v>
      </c>
      <c r="C11" s="149"/>
      <c r="D11" s="149"/>
      <c r="E11" s="149"/>
      <c r="F11" s="151"/>
    </row>
    <row r="12" spans="1:6" ht="14.25" thickBot="1" x14ac:dyDescent="0.25">
      <c r="A12" s="139"/>
      <c r="B12" s="136"/>
      <c r="C12" s="136"/>
      <c r="D12" s="136"/>
      <c r="E12" s="136"/>
      <c r="F12" s="137"/>
    </row>
    <row r="13" spans="1:6" ht="15.75" thickBot="1" x14ac:dyDescent="0.3">
      <c r="A13" s="148"/>
      <c r="B13" s="156" t="s">
        <v>0</v>
      </c>
      <c r="C13" s="11" t="s">
        <v>1</v>
      </c>
      <c r="D13" s="11" t="s">
        <v>2</v>
      </c>
      <c r="E13" s="11" t="s">
        <v>3</v>
      </c>
      <c r="F13" s="52" t="s">
        <v>4</v>
      </c>
    </row>
    <row r="14" spans="1:6" ht="24" x14ac:dyDescent="0.2">
      <c r="A14" s="152" t="s">
        <v>138</v>
      </c>
      <c r="B14" s="140">
        <f>ROUND((Berechnungen!I8/4)*20,0)/20</f>
        <v>0</v>
      </c>
      <c r="C14" s="141">
        <f>ROUND((Berechnungen!J8/4)*20,0)/20</f>
        <v>0</v>
      </c>
      <c r="D14" s="141">
        <f>ROUND((Berechnungen!K8/4)*20,0)/20</f>
        <v>0</v>
      </c>
      <c r="E14" s="141">
        <f>ROUND((Berechnungen!L8/4)*20,0)/20</f>
        <v>0</v>
      </c>
      <c r="F14" s="142">
        <f>ROUND((Berechnungen!M8/4)*20,0)/20</f>
        <v>0</v>
      </c>
    </row>
    <row r="15" spans="1:6" ht="24.75" thickBot="1" x14ac:dyDescent="0.25">
      <c r="A15" s="153" t="s">
        <v>139</v>
      </c>
      <c r="B15" s="145">
        <f>ROUND((Berechnungen!I2-Berechnungen!I8)*20,0)/20</f>
        <v>0</v>
      </c>
      <c r="C15" s="146">
        <f>ROUND((Berechnungen!J2-Berechnungen!J8)*20,0)/20</f>
        <v>0</v>
      </c>
      <c r="D15" s="146">
        <f>ROUND((Berechnungen!K2-Berechnungen!K8)*20,0)/20</f>
        <v>0</v>
      </c>
      <c r="E15" s="146">
        <f>ROUND((Berechnungen!L2-Berechnungen!L8)*20,0)/20</f>
        <v>0</v>
      </c>
      <c r="F15" s="147">
        <f>ROUND((Berechnungen!M2-Berechnungen!M8)*20,0)/20</f>
        <v>0</v>
      </c>
    </row>
  </sheetData>
  <dataConsolidate/>
  <dataValidations count="1">
    <dataValidation type="whole" showInputMessage="1" showErrorMessage="1" errorTitle="Eingabe" error="Bitte geben Sie effektiv angebotene Platzzahl an (Wert zwischen 0 und 100)." sqref="B3:F3" xr:uid="{00000000-0002-0000-0200-000000000000}">
      <formula1>0</formula1>
      <formula2>100</formula2>
    </dataValidation>
  </dataValidations>
  <pageMargins left="0.78740157480314965" right="0.59055118110236227" top="1.3779527559055118" bottom="0.47244094488188981" header="0.19685039370078741" footer="0.19685039370078741"/>
  <pageSetup paperSize="9" scale="83" fitToWidth="0" fitToHeight="0" orientation="landscape" r:id="rId1"/>
  <headerFooter differentFirst="1" scaleWithDoc="0">
    <oddHeader>&amp;R&amp;"Arial,Standard"&amp;8&amp;G</oddHeader>
    <oddFooter>&amp;L&amp;"Arial,Standard"&amp;8  17.01.2020&amp;R&amp;"Arial,Standard"&amp;8&amp;P/&amp;N</oddFooter>
    <firstHeader>&amp;L&amp;"Arial,Standard"&amp;10&amp;G&amp;"Arial Black,Standard"&amp;14
&amp;12Stellenplan Begleitetes Wohnen&amp;R&amp;"Arial Black,Standard"&amp;8Amt für Jugend und Berufsberatung
&amp;"Arial,Standard"Trägerschaften</firstHeader>
    <firstFooter>&amp;L&amp;"Arial,Standard"&amp;8  17.01.2020&amp;R&amp;"Arial,Standard"&amp;8&amp;P/&amp;N</firstFooter>
  </headerFooter>
  <legacyDrawingHF r:id="rId2"/>
  <extLst>
    <ext xmlns:x14="http://schemas.microsoft.com/office/spreadsheetml/2009/9/main" uri="{CCE6A557-97BC-4b89-ADB6-D9C93CAAB3DF}">
      <x14:dataValidations xmlns:xm="http://schemas.microsoft.com/office/excel/2006/main" count="1">
        <x14:dataValidation type="list" showInputMessage="1" showErrorMessage="1" xr:uid="{00000000-0002-0000-0200-000001000000}">
          <x14:formula1>
            <xm:f>Berechnungsgrundlagen!$E$5:$E$7</xm:f>
          </x14:formula1>
          <xm:sqref>B4:F4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showGridLines="0" view="pageLayout" zoomScaleNormal="100" workbookViewId="0">
      <selection activeCell="C9" sqref="C9"/>
    </sheetView>
  </sheetViews>
  <sheetFormatPr baseColWidth="10" defaultColWidth="7.140625" defaultRowHeight="13.5" x14ac:dyDescent="0.2"/>
  <cols>
    <col min="1" max="6" width="25.28515625" style="1" customWidth="1"/>
    <col min="7" max="17" width="9.140625" style="1" customWidth="1"/>
    <col min="18" max="16384" width="7.140625" style="1"/>
  </cols>
  <sheetData>
    <row r="1" spans="1:6" ht="15.75" thickBot="1" x14ac:dyDescent="0.3">
      <c r="A1" s="10"/>
      <c r="B1" s="11" t="s">
        <v>105</v>
      </c>
      <c r="C1" s="12" t="s">
        <v>106</v>
      </c>
      <c r="D1" s="12" t="s">
        <v>107</v>
      </c>
      <c r="E1" s="12" t="s">
        <v>108</v>
      </c>
      <c r="F1" s="13" t="s">
        <v>109</v>
      </c>
    </row>
    <row r="2" spans="1:6" ht="15" x14ac:dyDescent="0.25">
      <c r="A2" s="7" t="s">
        <v>17</v>
      </c>
      <c r="B2" s="8"/>
      <c r="C2" s="9"/>
      <c r="D2" s="9"/>
      <c r="E2" s="9"/>
      <c r="F2" s="9"/>
    </row>
    <row r="3" spans="1:6" ht="15" x14ac:dyDescent="0.25">
      <c r="A3" s="5" t="s">
        <v>5</v>
      </c>
      <c r="B3" s="4" t="s">
        <v>9</v>
      </c>
      <c r="C3" s="4" t="s">
        <v>9</v>
      </c>
      <c r="D3" s="4"/>
      <c r="E3" s="4"/>
      <c r="F3" s="4"/>
    </row>
    <row r="4" spans="1:6" ht="15.75" thickBot="1" x14ac:dyDescent="0.3">
      <c r="A4" s="6" t="s">
        <v>6</v>
      </c>
      <c r="B4" s="4" t="s">
        <v>14</v>
      </c>
      <c r="C4" s="4" t="s">
        <v>15</v>
      </c>
      <c r="D4" s="4"/>
      <c r="E4" s="4"/>
      <c r="F4" s="4"/>
    </row>
    <row r="5" spans="1:6" ht="15.75" thickBot="1" x14ac:dyDescent="0.3">
      <c r="A5" s="2"/>
      <c r="B5"/>
      <c r="C5"/>
      <c r="D5"/>
      <c r="E5"/>
      <c r="F5"/>
    </row>
    <row r="6" spans="1:6" ht="15.75" thickBot="1" x14ac:dyDescent="0.3">
      <c r="A6" s="10" t="s">
        <v>77</v>
      </c>
      <c r="B6" s="134">
        <f>IF(B4=Berechnungsgrundlagen!A10,Berechnungsgrundlagen!C10,IF('Stellen Agogik'!B4=Berechnungsgrundlagen!A11,Berechnungsgrundlagen!C11,IF('Stellen Agogik'!B4=Berechnungsgrundlagen!A12,Berechnungsgrundlagen!C12,IF('Stellen Agogik'!B4=Berechnungsgrundlagen!A13,Berechnungsgrundlagen!C13,IF(B4=Berechnungsgrundlagen!A14,0)))))</f>
        <v>2</v>
      </c>
      <c r="C6" s="134">
        <f>IF(C4=Berechnungsgrundlagen!A10,Berechnungsgrundlagen!C10,IF('Stellen Agogik'!C4=Berechnungsgrundlagen!A11,Berechnungsgrundlagen!C11,IF('Stellen Agogik'!C4=Berechnungsgrundlagen!A12,Berechnungsgrundlagen!C12,IF('Stellen Agogik'!C4=Berechnungsgrundlagen!A13,Berechnungsgrundlagen!C13,IF(C4=Berechnungsgrundlagen!A14,0)))))</f>
        <v>3</v>
      </c>
      <c r="D6" s="134">
        <f>IF(D4=Berechnungsgrundlagen!A10,Berechnungsgrundlagen!C10,IF('Stellen Agogik'!D4=Berechnungsgrundlagen!A11,Berechnungsgrundlagen!C11,IF('Stellen Agogik'!D4=Berechnungsgrundlagen!A12,Berechnungsgrundlagen!C12,IF('Stellen Agogik'!D4=Berechnungsgrundlagen!A13,Berechnungsgrundlagen!C13,IF(D4=Berechnungsgrundlagen!A14,0)))))</f>
        <v>0</v>
      </c>
      <c r="E6" s="134">
        <f>IF(E4=Berechnungsgrundlagen!A10,Berechnungsgrundlagen!C10,IF('Stellen Agogik'!E4=Berechnungsgrundlagen!A11,Berechnungsgrundlagen!C11,IF('Stellen Agogik'!E4=Berechnungsgrundlagen!A12,Berechnungsgrundlagen!C12,IF('Stellen Agogik'!E4=Berechnungsgrundlagen!A13,Berechnungsgrundlagen!C13,IF(E4=Berechnungsgrundlagen!A14,0)))))</f>
        <v>0</v>
      </c>
      <c r="F6" s="71">
        <f>IF(F4=Berechnungsgrundlagen!A10,Berechnungsgrundlagen!C10,IF('Stellen Agogik'!F4=Berechnungsgrundlagen!A11,Berechnungsgrundlagen!C11,IF('Stellen Agogik'!F4=Berechnungsgrundlagen!A12,Berechnungsgrundlagen!C12,IF('Stellen Agogik'!F4=Berechnungsgrundlagen!A13,Berechnungsgrundlagen!C13,IF(F4=Berechnungsgrundlagen!A14,0)))))</f>
        <v>0</v>
      </c>
    </row>
    <row r="7" spans="1:6" ht="14.25" thickBot="1" x14ac:dyDescent="0.25"/>
    <row r="8" spans="1:6" ht="14.25" thickBot="1" x14ac:dyDescent="0.25">
      <c r="A8" s="135" t="s">
        <v>43</v>
      </c>
      <c r="B8" s="71">
        <f>SUM(B6:F6)</f>
        <v>5</v>
      </c>
    </row>
    <row r="10" spans="1:6" ht="14.25" thickBot="1" x14ac:dyDescent="0.25"/>
    <row r="11" spans="1:6" ht="29.1" customHeight="1" thickBot="1" x14ac:dyDescent="0.3">
      <c r="A11" s="138" t="s">
        <v>20</v>
      </c>
      <c r="B11" s="172" t="s">
        <v>141</v>
      </c>
      <c r="C11" s="173"/>
      <c r="D11" s="173"/>
      <c r="E11" s="173"/>
      <c r="F11" s="174"/>
    </row>
    <row r="12" spans="1:6" ht="14.25" thickBot="1" x14ac:dyDescent="0.25">
      <c r="A12" s="139"/>
      <c r="B12" s="136"/>
      <c r="C12" s="136"/>
      <c r="D12" s="136"/>
      <c r="E12" s="136"/>
      <c r="F12" s="137"/>
    </row>
    <row r="13" spans="1:6" ht="15.75" thickBot="1" x14ac:dyDescent="0.3">
      <c r="A13" s="148"/>
      <c r="B13" s="156" t="s">
        <v>0</v>
      </c>
      <c r="C13" s="11" t="s">
        <v>1</v>
      </c>
      <c r="D13" s="11" t="s">
        <v>2</v>
      </c>
      <c r="E13" s="11" t="s">
        <v>3</v>
      </c>
      <c r="F13" s="52" t="s">
        <v>4</v>
      </c>
    </row>
    <row r="14" spans="1:6" ht="36.75" thickBot="1" x14ac:dyDescent="0.25">
      <c r="A14" s="154" t="s">
        <v>140</v>
      </c>
      <c r="B14" s="133">
        <f>ROUND((B6/4)*20,0)/20</f>
        <v>0.5</v>
      </c>
      <c r="C14" s="134">
        <f t="shared" ref="C14:F14" si="0">ROUND((C6/4)*20,0)/20</f>
        <v>0.75</v>
      </c>
      <c r="D14" s="134">
        <f t="shared" si="0"/>
        <v>0</v>
      </c>
      <c r="E14" s="134">
        <f t="shared" si="0"/>
        <v>0</v>
      </c>
      <c r="F14" s="71">
        <f t="shared" si="0"/>
        <v>0</v>
      </c>
    </row>
  </sheetData>
  <mergeCells count="1">
    <mergeCell ref="B11:F11"/>
  </mergeCells>
  <conditionalFormatting sqref="B3">
    <cfRule type="containsText" priority="5" operator="containsText" text="Betreutes Wohnen">
      <formula>NOT(ISERROR(SEARCH("Betreutes Wohnen",B3)))</formula>
    </cfRule>
  </conditionalFormatting>
  <conditionalFormatting sqref="C3:F3">
    <cfRule type="containsText" priority="1" operator="containsText" text="Betreutes Wohnen">
      <formula>NOT(ISERROR(SEARCH("Betreutes Wohnen",C3)))</formula>
    </cfRule>
  </conditionalFormatting>
  <pageMargins left="0.78740157480314965" right="0.59055118110236227" top="1.3779527559055118" bottom="0.47244094488188981" header="0.19685039370078741" footer="0.19685039370078741"/>
  <pageSetup paperSize="9" scale="83" fitToWidth="0" fitToHeight="0" orientation="landscape" r:id="rId1"/>
  <headerFooter differentFirst="1" scaleWithDoc="0">
    <oddHeader>&amp;R&amp;"Arial,Standard"&amp;8&amp;G</oddHeader>
    <oddFooter>&amp;L&amp;"Arial,Standard"&amp;8  17.01.2020&amp;R&amp;"Arial,Standard"&amp;8&amp;P/&amp;N</oddFooter>
    <firstHeader>&amp;L&amp;"Arial,Standard"&amp;10&amp;G&amp;"Arial Black,Standard"&amp;14
Stellenplan Agogik / Tageswohnen&amp;R&amp;"Arial Black,Standard"&amp;8Amt für Jugend und Berufsberatung
&amp;"Arial,Standard"Trägerschaften</firstHeader>
    <firstFooter>&amp;L&amp;"Arial,Standard"&amp;8  17.01.2020&amp;R&amp;"Arial,Standard"&amp;8&amp;P/&amp;N</firstFooter>
  </headerFooter>
  <legacyDrawingHF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300-000000000000}">
          <x14:formula1>
            <xm:f>Berechnungsgrundlagen!$A$5:$A$8</xm:f>
          </x14:formula1>
          <xm:sqref>B3:F3</xm:sqref>
        </x14:dataValidation>
        <x14:dataValidation type="list" showInputMessage="1" showErrorMessage="1" xr:uid="{00000000-0002-0000-0300-000001000000}">
          <x14:formula1>
            <xm:f>Berechnungsgrundlagen!$A$10:$A$14</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2"/>
  <sheetViews>
    <sheetView showGridLines="0" workbookViewId="0">
      <selection activeCell="K34" sqref="K34"/>
    </sheetView>
  </sheetViews>
  <sheetFormatPr baseColWidth="10" defaultRowHeight="15" x14ac:dyDescent="0.25"/>
  <cols>
    <col min="2" max="2" width="12.7109375" customWidth="1"/>
    <col min="3" max="3" width="17.140625" customWidth="1"/>
    <col min="4" max="4" width="11" customWidth="1"/>
    <col min="5" max="5" width="10.28515625" customWidth="1"/>
    <col min="7" max="7" width="11" customWidth="1"/>
    <col min="8" max="8" width="20.28515625" bestFit="1" customWidth="1"/>
    <col min="9" max="9" width="17.28515625" customWidth="1"/>
    <col min="10" max="10" width="6.85546875" customWidth="1"/>
    <col min="11" max="11" width="9.5703125" customWidth="1"/>
    <col min="12" max="12" width="6.85546875" customWidth="1"/>
    <col min="13" max="13" width="14.7109375" customWidth="1"/>
    <col min="14" max="14" width="5.5703125" customWidth="1"/>
    <col min="15" max="15" width="5.7109375" customWidth="1"/>
    <col min="16" max="16" width="8.7109375" customWidth="1"/>
    <col min="17" max="17" width="6.7109375" customWidth="1"/>
    <col min="18" max="18" width="15.85546875" customWidth="1"/>
    <col min="19" max="19" width="6.7109375" customWidth="1"/>
    <col min="20" max="20" width="5.85546875" customWidth="1"/>
    <col min="21" max="21" width="8.28515625" customWidth="1"/>
    <col min="22" max="22" width="7.28515625" customWidth="1"/>
  </cols>
  <sheetData>
    <row r="1" spans="1:22" ht="15.75" thickBot="1" x14ac:dyDescent="0.3">
      <c r="A1" s="26" t="s">
        <v>12</v>
      </c>
      <c r="B1" s="25"/>
      <c r="C1" s="27"/>
      <c r="E1" s="26" t="s">
        <v>37</v>
      </c>
      <c r="F1" s="25"/>
      <c r="G1" s="27"/>
    </row>
    <row r="2" spans="1:22" ht="15" customHeight="1" x14ac:dyDescent="0.25">
      <c r="A2" s="48" t="s">
        <v>8</v>
      </c>
      <c r="B2" s="17"/>
      <c r="C2" s="18"/>
      <c r="E2" s="48" t="s">
        <v>119</v>
      </c>
      <c r="F2" s="17"/>
      <c r="G2" s="18"/>
      <c r="O2" s="14"/>
      <c r="P2" s="98"/>
      <c r="Q2" s="14"/>
      <c r="R2" s="14"/>
    </row>
    <row r="3" spans="1:22" x14ac:dyDescent="0.25">
      <c r="A3" s="48" t="s">
        <v>7</v>
      </c>
      <c r="B3" s="17"/>
      <c r="C3" s="18"/>
      <c r="E3" s="48" t="s">
        <v>113</v>
      </c>
      <c r="F3" s="17"/>
      <c r="G3" s="18"/>
      <c r="N3" s="14"/>
      <c r="O3" s="14"/>
      <c r="P3" s="98"/>
      <c r="Q3" s="14"/>
      <c r="R3" s="14"/>
    </row>
    <row r="4" spans="1:22" x14ac:dyDescent="0.25">
      <c r="A4" s="48"/>
      <c r="B4" s="17"/>
      <c r="C4" s="18"/>
      <c r="E4" s="48" t="s">
        <v>51</v>
      </c>
      <c r="F4" s="17"/>
      <c r="G4" s="18"/>
      <c r="N4" s="14"/>
      <c r="O4" s="14"/>
      <c r="P4" s="14"/>
      <c r="Q4" s="14"/>
      <c r="R4" s="14"/>
    </row>
    <row r="5" spans="1:22" x14ac:dyDescent="0.25">
      <c r="A5" s="48" t="s">
        <v>9</v>
      </c>
      <c r="B5" s="17"/>
      <c r="C5" s="18"/>
      <c r="E5" s="48" t="s">
        <v>18</v>
      </c>
      <c r="F5" s="17"/>
      <c r="G5" s="18"/>
      <c r="N5" s="14"/>
      <c r="O5" s="14"/>
      <c r="P5" s="14"/>
      <c r="Q5" s="14"/>
      <c r="R5" s="14"/>
    </row>
    <row r="6" spans="1:22" ht="15.75" thickBot="1" x14ac:dyDescent="0.3">
      <c r="A6" s="48" t="s">
        <v>10</v>
      </c>
      <c r="B6" s="17"/>
      <c r="C6" s="18"/>
      <c r="E6" s="49" t="s">
        <v>59</v>
      </c>
      <c r="F6" s="20"/>
      <c r="G6" s="23"/>
      <c r="P6" s="109"/>
    </row>
    <row r="7" spans="1:22" ht="15.75" thickBot="1" x14ac:dyDescent="0.3">
      <c r="A7" s="49" t="s">
        <v>11</v>
      </c>
      <c r="B7" s="20"/>
      <c r="C7" s="23"/>
      <c r="E7" s="15"/>
      <c r="F7" s="17"/>
      <c r="G7" s="15"/>
    </row>
    <row r="8" spans="1:22" ht="15.75" thickBot="1" x14ac:dyDescent="0.3">
      <c r="E8" s="20"/>
      <c r="F8" s="20"/>
      <c r="G8" s="20"/>
      <c r="H8" s="20"/>
    </row>
    <row r="9" spans="1:22" ht="15.75" thickBot="1" x14ac:dyDescent="0.3">
      <c r="A9" s="10" t="s">
        <v>6</v>
      </c>
      <c r="B9" s="25"/>
      <c r="C9" s="10" t="s">
        <v>27</v>
      </c>
      <c r="D9" s="25"/>
      <c r="E9" s="26" t="s">
        <v>35</v>
      </c>
      <c r="F9" s="25"/>
      <c r="G9" s="27"/>
      <c r="H9" s="25"/>
      <c r="I9" s="10" t="s">
        <v>26</v>
      </c>
      <c r="J9" s="25"/>
      <c r="K9" s="10" t="s">
        <v>25</v>
      </c>
      <c r="L9" s="25"/>
      <c r="M9" s="26" t="s">
        <v>19</v>
      </c>
      <c r="N9" s="27"/>
      <c r="P9" s="26" t="s">
        <v>53</v>
      </c>
      <c r="Q9" s="51"/>
      <c r="R9" s="52"/>
    </row>
    <row r="10" spans="1:22" x14ac:dyDescent="0.25">
      <c r="A10" s="33" t="s">
        <v>13</v>
      </c>
      <c r="B10" s="34"/>
      <c r="C10" s="35">
        <v>1</v>
      </c>
      <c r="D10" s="36"/>
      <c r="E10" s="37">
        <v>15</v>
      </c>
      <c r="F10" s="36" t="s">
        <v>24</v>
      </c>
      <c r="G10" s="38">
        <v>15</v>
      </c>
      <c r="H10" s="34" t="s">
        <v>22</v>
      </c>
      <c r="I10" s="39">
        <f>7*G10</f>
        <v>105</v>
      </c>
      <c r="J10" s="34" t="s">
        <v>22</v>
      </c>
      <c r="K10" s="40">
        <f>(I10+3.5+3)*52/1761</f>
        <v>3.2924474730266895</v>
      </c>
      <c r="L10" s="34" t="s">
        <v>22</v>
      </c>
      <c r="M10" s="60">
        <f>K10</f>
        <v>3.2924474730266895</v>
      </c>
      <c r="N10" s="38"/>
      <c r="P10" s="37" t="s">
        <v>54</v>
      </c>
      <c r="Q10" s="36" t="s">
        <v>22</v>
      </c>
      <c r="R10" s="90">
        <v>0.2</v>
      </c>
    </row>
    <row r="11" spans="1:22" x14ac:dyDescent="0.25">
      <c r="A11" s="41" t="s">
        <v>14</v>
      </c>
      <c r="B11" s="42"/>
      <c r="C11" s="43">
        <v>2</v>
      </c>
      <c r="D11" s="44"/>
      <c r="E11" s="45" t="s">
        <v>95</v>
      </c>
      <c r="F11" s="44" t="s">
        <v>24</v>
      </c>
      <c r="G11" s="46">
        <v>22</v>
      </c>
      <c r="H11" s="42" t="s">
        <v>22</v>
      </c>
      <c r="I11" s="47">
        <f t="shared" ref="I11:I13" si="0">7*G11</f>
        <v>154</v>
      </c>
      <c r="J11" s="42" t="s">
        <v>22</v>
      </c>
      <c r="K11" s="59">
        <f>(I11+3.5+3)*52/1761</f>
        <v>4.7393526405451452</v>
      </c>
      <c r="L11" s="42" t="s">
        <v>22</v>
      </c>
      <c r="M11" s="61">
        <f t="shared" ref="M11:M13" si="1">K11</f>
        <v>4.7393526405451452</v>
      </c>
      <c r="N11" s="46"/>
      <c r="P11" s="45" t="s">
        <v>55</v>
      </c>
      <c r="Q11" s="44" t="s">
        <v>22</v>
      </c>
      <c r="R11" s="91">
        <v>0.4</v>
      </c>
    </row>
    <row r="12" spans="1:22" x14ac:dyDescent="0.25">
      <c r="A12" s="41" t="s">
        <v>15</v>
      </c>
      <c r="B12" s="42"/>
      <c r="C12" s="43">
        <v>3</v>
      </c>
      <c r="D12" s="44"/>
      <c r="E12" s="45" t="s">
        <v>96</v>
      </c>
      <c r="F12" s="44" t="s">
        <v>24</v>
      </c>
      <c r="G12" s="46">
        <v>29</v>
      </c>
      <c r="H12" s="42" t="s">
        <v>22</v>
      </c>
      <c r="I12" s="47">
        <f>7*G12</f>
        <v>203</v>
      </c>
      <c r="J12" s="42" t="s">
        <v>22</v>
      </c>
      <c r="K12" s="59">
        <f>(I12+3.5+3)*52/1761</f>
        <v>6.1862578080636004</v>
      </c>
      <c r="L12" s="42" t="s">
        <v>22</v>
      </c>
      <c r="M12" s="61">
        <f t="shared" si="1"/>
        <v>6.1862578080636004</v>
      </c>
      <c r="N12" s="46"/>
      <c r="P12" s="45" t="s">
        <v>56</v>
      </c>
      <c r="Q12" s="44" t="s">
        <v>22</v>
      </c>
      <c r="R12" s="91">
        <v>0.6</v>
      </c>
    </row>
    <row r="13" spans="1:22" ht="15.75" thickBot="1" x14ac:dyDescent="0.3">
      <c r="A13" s="32" t="s">
        <v>16</v>
      </c>
      <c r="B13" s="22"/>
      <c r="C13" s="29">
        <v>4</v>
      </c>
      <c r="D13" s="21"/>
      <c r="E13" s="24" t="s">
        <v>97</v>
      </c>
      <c r="F13" s="21" t="s">
        <v>24</v>
      </c>
      <c r="G13" s="28">
        <v>36</v>
      </c>
      <c r="H13" s="22" t="s">
        <v>22</v>
      </c>
      <c r="I13" s="30">
        <f t="shared" si="0"/>
        <v>252</v>
      </c>
      <c r="J13" s="22" t="s">
        <v>22</v>
      </c>
      <c r="K13" s="31">
        <f>(I13+3.5+3)*52/1761</f>
        <v>7.6331629755820556</v>
      </c>
      <c r="L13" s="22" t="s">
        <v>22</v>
      </c>
      <c r="M13" s="62">
        <f t="shared" si="1"/>
        <v>7.6331629755820556</v>
      </c>
      <c r="N13" s="28"/>
      <c r="P13" s="24" t="s">
        <v>57</v>
      </c>
      <c r="Q13" s="21" t="s">
        <v>22</v>
      </c>
      <c r="R13" s="28"/>
    </row>
    <row r="14" spans="1:22" ht="15.75" thickBot="1" x14ac:dyDescent="0.3">
      <c r="A14" s="3"/>
    </row>
    <row r="15" spans="1:22" ht="15.75" thickBot="1" x14ac:dyDescent="0.3">
      <c r="A15" s="50" t="s">
        <v>52</v>
      </c>
      <c r="B15" s="51"/>
      <c r="C15" s="26" t="s">
        <v>118</v>
      </c>
      <c r="D15" s="25"/>
      <c r="E15" s="25"/>
      <c r="F15" s="27"/>
      <c r="G15" s="10" t="s">
        <v>60</v>
      </c>
      <c r="H15" s="54" t="s">
        <v>51</v>
      </c>
      <c r="I15" s="25"/>
      <c r="J15" s="25"/>
      <c r="K15" s="27"/>
      <c r="L15" s="10" t="s">
        <v>60</v>
      </c>
      <c r="M15" s="26" t="s">
        <v>113</v>
      </c>
      <c r="N15" s="25"/>
      <c r="O15" s="25"/>
      <c r="P15" s="27"/>
      <c r="Q15" s="131" t="s">
        <v>60</v>
      </c>
      <c r="R15" s="26" t="s">
        <v>59</v>
      </c>
      <c r="S15" s="51"/>
      <c r="T15" s="51"/>
      <c r="U15" s="51"/>
      <c r="V15" s="10" t="s">
        <v>60</v>
      </c>
    </row>
    <row r="16" spans="1:22" ht="15" customHeight="1" x14ac:dyDescent="0.25">
      <c r="A16" s="92" t="s">
        <v>13</v>
      </c>
      <c r="B16" s="17"/>
      <c r="C16" s="161" t="s">
        <v>100</v>
      </c>
      <c r="D16" s="17">
        <f>22*7</f>
        <v>154</v>
      </c>
      <c r="E16" s="94" t="s">
        <v>22</v>
      </c>
      <c r="F16" s="100">
        <f>(D16+3.5+3)*52/1761</f>
        <v>4.7393526405451452</v>
      </c>
      <c r="G16" s="106">
        <f>ROUND(F16/M10,1)</f>
        <v>1.4</v>
      </c>
      <c r="H16" s="48" t="s">
        <v>79</v>
      </c>
      <c r="I16" s="17">
        <f>24.5*7</f>
        <v>171.5</v>
      </c>
      <c r="J16" s="94" t="s">
        <v>22</v>
      </c>
      <c r="K16" s="100">
        <f>(I16+3.5+3)*52/1761</f>
        <v>5.25610448608745</v>
      </c>
      <c r="L16" s="106">
        <f>ROUND(K16/M10,1)</f>
        <v>1.6</v>
      </c>
      <c r="M16" s="48" t="s">
        <v>100</v>
      </c>
      <c r="N16" s="17">
        <f>22*7</f>
        <v>154</v>
      </c>
      <c r="O16" s="94" t="s">
        <v>22</v>
      </c>
      <c r="P16" s="100">
        <f>(N16+3.5+3)*52/1761</f>
        <v>4.7393526405451452</v>
      </c>
      <c r="Q16" s="106">
        <f>ROUND(P16/M10,1)</f>
        <v>1.4</v>
      </c>
      <c r="R16" s="108">
        <v>15</v>
      </c>
      <c r="S16" s="17">
        <f>7*15</f>
        <v>105</v>
      </c>
      <c r="T16" s="130" t="s">
        <v>22</v>
      </c>
      <c r="U16" s="86">
        <f>(S16+3.5+3)*52/1761</f>
        <v>3.2924474730266895</v>
      </c>
      <c r="V16" s="106">
        <f>ROUND(U16/M10,1)</f>
        <v>1</v>
      </c>
    </row>
    <row r="17" spans="1:22" x14ac:dyDescent="0.25">
      <c r="A17" s="92" t="s">
        <v>14</v>
      </c>
      <c r="B17" s="17"/>
      <c r="C17" s="99" t="s">
        <v>98</v>
      </c>
      <c r="D17" s="17">
        <f>37*7</f>
        <v>259</v>
      </c>
      <c r="E17" s="94" t="s">
        <v>22</v>
      </c>
      <c r="F17" s="100">
        <f>(D17+3.5+3)*52/1761</f>
        <v>7.8398637137989775</v>
      </c>
      <c r="G17" s="106">
        <f>ROUND(F17/M11,1)</f>
        <v>1.7</v>
      </c>
      <c r="H17" s="48" t="s">
        <v>80</v>
      </c>
      <c r="I17" s="17">
        <f>34*7</f>
        <v>238</v>
      </c>
      <c r="J17" s="94" t="s">
        <v>22</v>
      </c>
      <c r="K17" s="100">
        <f>(I17+3.5+3)*52/1761</f>
        <v>7.2197614991482109</v>
      </c>
      <c r="L17" s="106">
        <f t="shared" ref="L17" si="2">ROUND(K17/M11,1)</f>
        <v>1.5</v>
      </c>
      <c r="M17" s="48" t="s">
        <v>102</v>
      </c>
      <c r="N17" s="17">
        <f>29*7</f>
        <v>203</v>
      </c>
      <c r="O17" s="94" t="s">
        <v>22</v>
      </c>
      <c r="P17" s="100">
        <f>(N17+3.5+3)*52/1761</f>
        <v>6.1862578080636004</v>
      </c>
      <c r="Q17" s="106">
        <f>ROUND(P17/M11,1)</f>
        <v>1.3</v>
      </c>
      <c r="R17" s="108" t="s">
        <v>83</v>
      </c>
      <c r="S17" s="17">
        <f>7*30</f>
        <v>210</v>
      </c>
      <c r="T17" s="130" t="s">
        <v>22</v>
      </c>
      <c r="U17" s="86">
        <f>(S17+3.5+3)*52/1761</f>
        <v>6.3929585462805223</v>
      </c>
      <c r="V17" s="106">
        <f t="shared" ref="V17:V19" si="3">ROUND(U17/M11,1)</f>
        <v>1.3</v>
      </c>
    </row>
    <row r="18" spans="1:22" x14ac:dyDescent="0.25">
      <c r="A18" s="92" t="s">
        <v>15</v>
      </c>
      <c r="B18" s="17"/>
      <c r="C18" s="99" t="s">
        <v>101</v>
      </c>
      <c r="D18" s="17">
        <f>52*7</f>
        <v>364</v>
      </c>
      <c r="E18" s="94" t="s">
        <v>22</v>
      </c>
      <c r="F18" s="100">
        <f>(D18+3.5+3)*52/1761</f>
        <v>10.940374787052811</v>
      </c>
      <c r="G18" s="106">
        <f t="shared" ref="G18" si="4">ROUND(F18/M12,1)</f>
        <v>1.8</v>
      </c>
      <c r="H18" s="48" t="s">
        <v>81</v>
      </c>
      <c r="I18" s="17">
        <f>43.5*7</f>
        <v>304.5</v>
      </c>
      <c r="J18" s="94" t="s">
        <v>22</v>
      </c>
      <c r="K18" s="100">
        <f>(I18+3.5+3)*52/1761</f>
        <v>9.1834185122089718</v>
      </c>
      <c r="L18" s="106">
        <f>ROUND(K18/M12,1)</f>
        <v>1.5</v>
      </c>
      <c r="M18" s="48" t="s">
        <v>103</v>
      </c>
      <c r="N18" s="17">
        <f>36*7</f>
        <v>252</v>
      </c>
      <c r="O18" s="94" t="s">
        <v>22</v>
      </c>
      <c r="P18" s="100">
        <f>(N18+3.5+3)*52/1761</f>
        <v>7.6331629755820556</v>
      </c>
      <c r="Q18" s="106">
        <f>ROUND(P18/M12,1)</f>
        <v>1.2</v>
      </c>
      <c r="R18" s="108" t="s">
        <v>84</v>
      </c>
      <c r="S18" s="17">
        <f>7*45</f>
        <v>315</v>
      </c>
      <c r="T18" s="130" t="s">
        <v>22</v>
      </c>
      <c r="U18" s="86">
        <f>(S18+3.5+3)*52/1761</f>
        <v>9.4934696195343555</v>
      </c>
      <c r="V18" s="106">
        <f t="shared" si="3"/>
        <v>1.5</v>
      </c>
    </row>
    <row r="19" spans="1:22" ht="15.75" thickBot="1" x14ac:dyDescent="0.3">
      <c r="A19" s="93" t="s">
        <v>16</v>
      </c>
      <c r="B19" s="20"/>
      <c r="C19" s="101" t="s">
        <v>99</v>
      </c>
      <c r="D19" s="20">
        <f>67*7</f>
        <v>469</v>
      </c>
      <c r="E19" s="102" t="s">
        <v>22</v>
      </c>
      <c r="F19" s="104">
        <f>(D19+3.5+3)*52/1761</f>
        <v>14.040885860306643</v>
      </c>
      <c r="G19" s="107">
        <f>ROUND(F19/M13,1)</f>
        <v>1.8</v>
      </c>
      <c r="H19" s="49" t="s">
        <v>82</v>
      </c>
      <c r="I19" s="20">
        <f>53*7</f>
        <v>371</v>
      </c>
      <c r="J19" s="102" t="s">
        <v>22</v>
      </c>
      <c r="K19" s="104">
        <f>(I19+3.5+3)*52/1761</f>
        <v>11.147075525269733</v>
      </c>
      <c r="L19" s="107">
        <f>ROUND(K19/M13,1)</f>
        <v>1.5</v>
      </c>
      <c r="M19" s="49" t="s">
        <v>104</v>
      </c>
      <c r="N19" s="20">
        <f>43*7</f>
        <v>301</v>
      </c>
      <c r="O19" s="102" t="s">
        <v>22</v>
      </c>
      <c r="P19" s="104">
        <f>(N19+3.5+3)*52/1761</f>
        <v>9.0800681431005117</v>
      </c>
      <c r="Q19" s="107">
        <f>ROUND(P19/M13,1)</f>
        <v>1.2</v>
      </c>
      <c r="R19" s="24" t="s">
        <v>85</v>
      </c>
      <c r="S19" s="20">
        <f>7*60</f>
        <v>420</v>
      </c>
      <c r="T19" s="21" t="s">
        <v>22</v>
      </c>
      <c r="U19" s="103">
        <f>(S19+3.5+3)*52/1761</f>
        <v>12.593980692788188</v>
      </c>
      <c r="V19" s="107">
        <f t="shared" si="3"/>
        <v>1.6</v>
      </c>
    </row>
    <row r="20" spans="1:22" ht="15.75" thickBot="1" x14ac:dyDescent="0.3">
      <c r="A20" s="55"/>
    </row>
    <row r="21" spans="1:22" ht="15.75" thickBot="1" x14ac:dyDescent="0.3">
      <c r="A21" s="63"/>
      <c r="B21" s="83" t="s">
        <v>45</v>
      </c>
      <c r="C21" s="10"/>
      <c r="D21" s="85" t="s">
        <v>46</v>
      </c>
      <c r="E21" s="52"/>
      <c r="F21" s="84" t="s">
        <v>47</v>
      </c>
      <c r="G21" s="53"/>
      <c r="I21" s="131" t="s">
        <v>28</v>
      </c>
      <c r="K21" s="26" t="s">
        <v>49</v>
      </c>
      <c r="L21" s="27"/>
    </row>
    <row r="22" spans="1:22" ht="15.75" thickBot="1" x14ac:dyDescent="0.3">
      <c r="A22" s="26" t="s">
        <v>6</v>
      </c>
      <c r="B22" s="95" t="s">
        <v>48</v>
      </c>
      <c r="C22" s="96"/>
      <c r="D22" s="96"/>
      <c r="E22" s="96"/>
      <c r="F22" s="96"/>
      <c r="G22" s="97"/>
      <c r="I22" s="72" t="s">
        <v>29</v>
      </c>
      <c r="K22" s="64" t="s">
        <v>58</v>
      </c>
      <c r="L22" s="27"/>
    </row>
    <row r="23" spans="1:22" x14ac:dyDescent="0.25">
      <c r="A23" s="79" t="s">
        <v>14</v>
      </c>
      <c r="B23" s="63" t="s">
        <v>86</v>
      </c>
      <c r="C23" s="80">
        <v>210</v>
      </c>
      <c r="D23" s="63" t="s">
        <v>89</v>
      </c>
      <c r="E23" s="80">
        <f>30*14</f>
        <v>420</v>
      </c>
      <c r="F23" s="15" t="s">
        <v>92</v>
      </c>
      <c r="G23" s="80">
        <f>30*21</f>
        <v>630</v>
      </c>
      <c r="I23" s="72" t="s">
        <v>30</v>
      </c>
    </row>
    <row r="24" spans="1:22" x14ac:dyDescent="0.25">
      <c r="A24" s="81" t="s">
        <v>15</v>
      </c>
      <c r="B24" s="68" t="s">
        <v>87</v>
      </c>
      <c r="C24" s="82">
        <v>315</v>
      </c>
      <c r="D24" s="68" t="s">
        <v>90</v>
      </c>
      <c r="E24" s="82">
        <f>45*14</f>
        <v>630</v>
      </c>
      <c r="F24" s="78" t="s">
        <v>93</v>
      </c>
      <c r="G24" s="82">
        <f>45*21</f>
        <v>945</v>
      </c>
      <c r="I24" s="72" t="s">
        <v>31</v>
      </c>
    </row>
    <row r="25" spans="1:22" ht="15.75" thickBot="1" x14ac:dyDescent="0.3">
      <c r="A25" s="19" t="s">
        <v>16</v>
      </c>
      <c r="B25" s="49" t="s">
        <v>88</v>
      </c>
      <c r="C25" s="77">
        <v>420</v>
      </c>
      <c r="D25" s="49" t="s">
        <v>91</v>
      </c>
      <c r="E25" s="77">
        <f>60*14</f>
        <v>840</v>
      </c>
      <c r="F25" s="20" t="s">
        <v>94</v>
      </c>
      <c r="G25" s="77">
        <f>60*21</f>
        <v>1260</v>
      </c>
      <c r="I25" s="73" t="s">
        <v>33</v>
      </c>
    </row>
    <row r="26" spans="1:22" x14ac:dyDescent="0.25">
      <c r="A26" s="48"/>
      <c r="B26" s="17"/>
    </row>
    <row r="27" spans="1:22" x14ac:dyDescent="0.25">
      <c r="A27" s="74"/>
      <c r="B27" s="17"/>
    </row>
    <row r="28" spans="1:22" ht="15.75" thickBot="1" x14ac:dyDescent="0.3"/>
    <row r="29" spans="1:22" ht="15.75" thickBot="1" x14ac:dyDescent="0.3">
      <c r="A29" s="178" t="s">
        <v>21</v>
      </c>
      <c r="B29" s="179"/>
      <c r="C29" s="179"/>
      <c r="D29" s="179"/>
      <c r="E29" s="179"/>
      <c r="F29" s="179"/>
      <c r="G29" s="179"/>
      <c r="H29" s="179"/>
      <c r="I29" s="179"/>
      <c r="J29" s="179"/>
      <c r="K29" s="179"/>
      <c r="L29" s="179"/>
      <c r="M29" s="179"/>
      <c r="N29" s="179"/>
      <c r="O29" s="179"/>
      <c r="P29" s="179"/>
      <c r="Q29" s="179"/>
      <c r="R29" s="179"/>
      <c r="S29" s="179"/>
      <c r="T29" s="179"/>
      <c r="U29" s="179"/>
      <c r="V29" s="180"/>
    </row>
    <row r="30" spans="1:22" ht="30" customHeight="1" thickBot="1" x14ac:dyDescent="0.3">
      <c r="A30" s="175" t="s">
        <v>23</v>
      </c>
      <c r="B30" s="176"/>
      <c r="C30" s="176"/>
      <c r="D30" s="176"/>
      <c r="E30" s="176"/>
      <c r="F30" s="176"/>
      <c r="G30" s="176"/>
      <c r="H30" s="176"/>
      <c r="I30" s="176"/>
      <c r="J30" s="176"/>
      <c r="K30" s="176"/>
      <c r="L30" s="176"/>
      <c r="M30" s="176"/>
      <c r="N30" s="176"/>
      <c r="O30" s="176"/>
      <c r="P30" s="176"/>
      <c r="Q30" s="176"/>
      <c r="R30" s="176"/>
      <c r="S30" s="176"/>
      <c r="T30" s="176"/>
      <c r="U30" s="176"/>
      <c r="V30" s="177"/>
    </row>
    <row r="31" spans="1:22" ht="15" customHeight="1" thickBot="1" x14ac:dyDescent="0.3"/>
    <row r="32" spans="1:22" ht="15.75" thickBot="1" x14ac:dyDescent="0.3">
      <c r="A32" s="166" t="s">
        <v>34</v>
      </c>
      <c r="B32" s="167"/>
      <c r="C32" s="167"/>
      <c r="D32" s="167"/>
      <c r="E32" s="167"/>
      <c r="F32" s="167"/>
      <c r="G32" s="167"/>
      <c r="H32" s="167"/>
      <c r="I32" s="167"/>
      <c r="J32" s="167"/>
      <c r="K32" s="167"/>
      <c r="L32" s="167"/>
      <c r="M32" s="167"/>
      <c r="N32" s="167"/>
      <c r="O32" s="167"/>
      <c r="P32" s="167"/>
      <c r="Q32" s="167"/>
      <c r="R32" s="167"/>
      <c r="S32" s="167"/>
      <c r="T32" s="167"/>
      <c r="U32" s="167"/>
      <c r="V32" s="168"/>
    </row>
    <row r="33" spans="1:22" s="105" customFormat="1" ht="60" customHeight="1" x14ac:dyDescent="0.25">
      <c r="A33" s="187" t="s">
        <v>117</v>
      </c>
      <c r="B33" s="188"/>
      <c r="C33" s="188"/>
      <c r="D33" s="188"/>
      <c r="E33" s="188"/>
      <c r="F33" s="188"/>
      <c r="G33" s="188"/>
      <c r="H33" s="188"/>
      <c r="I33" s="188"/>
      <c r="J33" s="188"/>
      <c r="K33" s="188"/>
      <c r="L33" s="188"/>
      <c r="M33" s="188"/>
      <c r="N33" s="188"/>
      <c r="O33" s="188"/>
      <c r="P33" s="188"/>
      <c r="Q33" s="188"/>
      <c r="R33" s="188"/>
      <c r="S33" s="188"/>
      <c r="T33" s="188"/>
      <c r="U33" s="188"/>
      <c r="V33" s="189"/>
    </row>
    <row r="34" spans="1:22" x14ac:dyDescent="0.25">
      <c r="A34" s="56"/>
      <c r="B34" s="57"/>
      <c r="C34" s="57"/>
      <c r="D34" s="57"/>
      <c r="E34" s="57"/>
      <c r="F34" s="57"/>
      <c r="G34" s="57"/>
      <c r="H34" s="57"/>
      <c r="I34" s="57"/>
      <c r="J34" s="57"/>
      <c r="K34" s="57"/>
      <c r="L34" s="57"/>
      <c r="M34" s="57"/>
      <c r="N34" s="57"/>
      <c r="O34" s="57"/>
      <c r="P34" s="57"/>
      <c r="Q34" s="57"/>
      <c r="R34" s="57"/>
      <c r="S34" s="57"/>
      <c r="T34" s="57"/>
      <c r="U34" s="57"/>
      <c r="V34" s="58"/>
    </row>
    <row r="35" spans="1:22" ht="18" customHeight="1" thickBot="1" x14ac:dyDescent="0.3">
      <c r="A35" s="184" t="s">
        <v>32</v>
      </c>
      <c r="B35" s="185"/>
      <c r="C35" s="185"/>
      <c r="D35" s="185"/>
      <c r="E35" s="185"/>
      <c r="F35" s="185"/>
      <c r="G35" s="185"/>
      <c r="H35" s="185"/>
      <c r="I35" s="185"/>
      <c r="J35" s="185"/>
      <c r="K35" s="185"/>
      <c r="L35" s="185"/>
      <c r="M35" s="185"/>
      <c r="N35" s="185"/>
      <c r="O35" s="185"/>
      <c r="P35" s="185"/>
      <c r="Q35" s="185"/>
      <c r="R35" s="185"/>
      <c r="S35" s="185"/>
      <c r="T35" s="185"/>
      <c r="U35" s="185"/>
      <c r="V35" s="186"/>
    </row>
    <row r="36" spans="1:22" ht="15.75" thickBot="1" x14ac:dyDescent="0.3"/>
    <row r="37" spans="1:22" ht="15.75" thickBot="1" x14ac:dyDescent="0.3">
      <c r="A37" s="181" t="s">
        <v>36</v>
      </c>
      <c r="B37" s="182"/>
      <c r="C37" s="182"/>
      <c r="D37" s="182"/>
      <c r="E37" s="182"/>
      <c r="F37" s="182"/>
      <c r="G37" s="182"/>
      <c r="H37" s="182"/>
      <c r="I37" s="182"/>
      <c r="J37" s="182"/>
      <c r="K37" s="182"/>
      <c r="L37" s="182"/>
      <c r="M37" s="182"/>
      <c r="N37" s="182"/>
      <c r="O37" s="182"/>
      <c r="P37" s="182"/>
      <c r="Q37" s="182"/>
      <c r="R37" s="182"/>
      <c r="S37" s="182"/>
      <c r="T37" s="182"/>
      <c r="U37" s="182"/>
      <c r="V37" s="183"/>
    </row>
    <row r="38" spans="1:22" ht="30.95" customHeight="1" thickBot="1" x14ac:dyDescent="0.3">
      <c r="A38" s="163" t="s">
        <v>110</v>
      </c>
      <c r="B38" s="164"/>
      <c r="C38" s="164"/>
      <c r="D38" s="164"/>
      <c r="E38" s="164"/>
      <c r="F38" s="164"/>
      <c r="G38" s="164"/>
      <c r="H38" s="164"/>
      <c r="I38" s="164"/>
      <c r="J38" s="164"/>
      <c r="K38" s="164"/>
      <c r="L38" s="164"/>
      <c r="M38" s="164"/>
      <c r="N38" s="164"/>
      <c r="O38" s="164"/>
      <c r="P38" s="164"/>
      <c r="Q38" s="164"/>
      <c r="R38" s="164"/>
      <c r="S38" s="164"/>
      <c r="T38" s="164"/>
      <c r="U38" s="164"/>
      <c r="V38" s="165"/>
    </row>
    <row r="39" spans="1:22" ht="15.75" thickBot="1" x14ac:dyDescent="0.3">
      <c r="A39" s="87"/>
      <c r="B39" s="88"/>
      <c r="C39" s="88"/>
      <c r="D39" s="88"/>
      <c r="E39" s="88"/>
      <c r="F39" s="88"/>
      <c r="G39" s="88"/>
      <c r="H39" s="88"/>
      <c r="I39" s="88"/>
      <c r="J39" s="88"/>
      <c r="K39" s="88"/>
      <c r="L39" s="88"/>
      <c r="M39" s="88"/>
      <c r="N39" s="88"/>
      <c r="O39" s="88"/>
      <c r="P39" s="88"/>
      <c r="Q39" s="88"/>
      <c r="R39" s="88"/>
      <c r="S39" s="88"/>
      <c r="T39" s="88"/>
      <c r="U39" s="88"/>
      <c r="V39" s="89"/>
    </row>
    <row r="40" spans="1:22" ht="15" customHeight="1" thickBot="1" x14ac:dyDescent="0.3">
      <c r="A40" s="181" t="s">
        <v>52</v>
      </c>
      <c r="B40" s="182"/>
      <c r="C40" s="182"/>
      <c r="D40" s="182"/>
      <c r="E40" s="182"/>
      <c r="F40" s="182"/>
      <c r="G40" s="182"/>
      <c r="H40" s="182"/>
      <c r="I40" s="182"/>
      <c r="J40" s="182"/>
      <c r="K40" s="182"/>
      <c r="L40" s="182"/>
      <c r="M40" s="182"/>
      <c r="N40" s="182"/>
      <c r="O40" s="182"/>
      <c r="P40" s="182"/>
      <c r="Q40" s="182"/>
      <c r="R40" s="182"/>
      <c r="S40" s="182"/>
      <c r="T40" s="182"/>
      <c r="U40" s="182"/>
      <c r="V40" s="183"/>
    </row>
    <row r="41" spans="1:22" ht="154.5" customHeight="1" thickBot="1" x14ac:dyDescent="0.3">
      <c r="A41" s="175" t="s">
        <v>121</v>
      </c>
      <c r="B41" s="176"/>
      <c r="C41" s="176"/>
      <c r="D41" s="176"/>
      <c r="E41" s="176"/>
      <c r="F41" s="176"/>
      <c r="G41" s="176"/>
      <c r="H41" s="176"/>
      <c r="I41" s="176"/>
      <c r="J41" s="176"/>
      <c r="K41" s="176"/>
      <c r="L41" s="176"/>
      <c r="M41" s="176"/>
      <c r="N41" s="176"/>
      <c r="O41" s="176"/>
      <c r="P41" s="176"/>
      <c r="Q41" s="176"/>
      <c r="R41" s="176"/>
      <c r="S41" s="176"/>
      <c r="T41" s="176"/>
      <c r="U41" s="176"/>
      <c r="V41" s="177"/>
    </row>
    <row r="42" spans="1:22" x14ac:dyDescent="0.25">
      <c r="A42" s="2"/>
    </row>
  </sheetData>
  <mergeCells count="9">
    <mergeCell ref="A41:V41"/>
    <mergeCell ref="A38:V38"/>
    <mergeCell ref="A29:V29"/>
    <mergeCell ref="A32:V32"/>
    <mergeCell ref="A37:V37"/>
    <mergeCell ref="A40:V40"/>
    <mergeCell ref="A30:V30"/>
    <mergeCell ref="A35:V35"/>
    <mergeCell ref="A33:V33"/>
  </mergeCells>
  <pageMargins left="0.7" right="0.7" top="0.78740157499999996" bottom="0.78740157499999996" header="0.3" footer="0.3"/>
  <pageSetup paperSize="8"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2"/>
  <sheetViews>
    <sheetView showGridLines="0" workbookViewId="0">
      <selection activeCell="D13" sqref="D13"/>
    </sheetView>
  </sheetViews>
  <sheetFormatPr baseColWidth="10" defaultRowHeight="15" x14ac:dyDescent="0.25"/>
  <cols>
    <col min="1" max="1" width="25.85546875" customWidth="1"/>
    <col min="2" max="6" width="17.7109375" customWidth="1"/>
    <col min="9" max="13" width="17.7109375" customWidth="1"/>
  </cols>
  <sheetData>
    <row r="1" spans="1:19" x14ac:dyDescent="0.25">
      <c r="B1" s="69" t="s">
        <v>69</v>
      </c>
      <c r="C1" s="69" t="s">
        <v>70</v>
      </c>
      <c r="D1" s="69" t="s">
        <v>71</v>
      </c>
      <c r="E1" s="69" t="s">
        <v>72</v>
      </c>
      <c r="F1" s="113" t="s">
        <v>73</v>
      </c>
      <c r="H1" s="17"/>
      <c r="I1" s="126" t="s">
        <v>64</v>
      </c>
      <c r="J1" s="125" t="s">
        <v>65</v>
      </c>
      <c r="K1" s="126" t="s">
        <v>66</v>
      </c>
      <c r="L1" s="84" t="s">
        <v>67</v>
      </c>
      <c r="M1" s="127" t="s">
        <v>68</v>
      </c>
      <c r="N1" s="15"/>
      <c r="O1" s="15"/>
      <c r="P1" s="15"/>
      <c r="Q1" s="15"/>
      <c r="R1" s="15"/>
      <c r="S1" s="15"/>
    </row>
    <row r="2" spans="1:19" ht="15.75" thickBot="1" x14ac:dyDescent="0.3">
      <c r="B2" s="49">
        <f>IF(B29=0,B40,B42)</f>
        <v>0</v>
      </c>
      <c r="C2" s="49">
        <f>IF(C29=0,C40,C42)</f>
        <v>0</v>
      </c>
      <c r="D2" s="49">
        <f>IF(D29=0,D40,D42)</f>
        <v>0</v>
      </c>
      <c r="E2" s="49">
        <f>IF(E29=0,E40,E42)</f>
        <v>0</v>
      </c>
      <c r="F2" s="110">
        <f>IF(F29=0,F40,F42)</f>
        <v>0</v>
      </c>
      <c r="H2" s="17"/>
      <c r="I2" s="129">
        <f>ROUND((I8+I12)*20,0)/20</f>
        <v>0</v>
      </c>
      <c r="J2" s="129">
        <f>ROUND((J8+J12)*20,0)/20</f>
        <v>0</v>
      </c>
      <c r="K2" s="129">
        <f>ROUND((K8+K12)*20,0)/20</f>
        <v>0</v>
      </c>
      <c r="L2" s="129">
        <f>ROUND((L8+L12)*20,0)/20</f>
        <v>0</v>
      </c>
      <c r="M2" s="129">
        <f>ROUND((M8+M12)*20,0)/20</f>
        <v>0</v>
      </c>
      <c r="N2" s="17"/>
      <c r="O2" s="17"/>
      <c r="P2" s="17"/>
      <c r="Q2" s="17"/>
      <c r="R2" s="17"/>
      <c r="S2" s="17"/>
    </row>
    <row r="3" spans="1:19" x14ac:dyDescent="0.25">
      <c r="A3" s="48"/>
      <c r="B3" s="17"/>
      <c r="C3" s="17"/>
      <c r="D3" s="17"/>
      <c r="E3" s="17"/>
      <c r="F3" s="17"/>
      <c r="G3" s="17"/>
      <c r="H3" s="17"/>
      <c r="I3" s="17"/>
      <c r="J3" s="17"/>
      <c r="K3" s="17"/>
      <c r="L3" s="17"/>
      <c r="M3" s="17"/>
      <c r="N3" s="17"/>
      <c r="O3" s="17"/>
      <c r="P3" s="17"/>
      <c r="Q3" s="17"/>
      <c r="R3" s="17"/>
      <c r="S3" s="17"/>
    </row>
    <row r="4" spans="1:19" x14ac:dyDescent="0.25">
      <c r="A4" s="48"/>
      <c r="B4" s="17"/>
      <c r="C4" s="17"/>
      <c r="D4" s="17"/>
      <c r="E4" s="17"/>
      <c r="F4" s="17"/>
      <c r="G4" s="17"/>
      <c r="H4" s="17"/>
      <c r="I4" s="17"/>
      <c r="J4" s="17"/>
      <c r="K4" s="17"/>
      <c r="L4" s="17"/>
      <c r="M4" s="17"/>
      <c r="N4" s="17"/>
      <c r="O4" s="17"/>
    </row>
    <row r="5" spans="1:19" ht="15.75" thickBot="1" x14ac:dyDescent="0.3">
      <c r="A5" s="48"/>
      <c r="B5" s="17"/>
      <c r="C5" s="17"/>
      <c r="D5" s="17"/>
      <c r="E5" s="17"/>
      <c r="F5" s="17"/>
      <c r="G5" s="17"/>
      <c r="H5" s="17"/>
      <c r="I5" s="17"/>
      <c r="J5" s="17"/>
      <c r="K5" s="17"/>
      <c r="L5" s="17"/>
      <c r="M5" s="17"/>
    </row>
    <row r="6" spans="1:19" ht="15.75" thickBot="1" x14ac:dyDescent="0.3">
      <c r="A6" s="26" t="s">
        <v>38</v>
      </c>
      <c r="B6" s="25"/>
      <c r="C6" s="25"/>
      <c r="D6" s="25"/>
      <c r="E6" s="25"/>
      <c r="F6" s="27"/>
      <c r="G6" s="17"/>
      <c r="H6" s="26" t="s">
        <v>39</v>
      </c>
      <c r="I6" s="15"/>
      <c r="J6" s="15"/>
      <c r="K6" s="15"/>
      <c r="L6" s="25"/>
      <c r="M6" s="27"/>
    </row>
    <row r="7" spans="1:19" ht="15.75" thickBot="1" x14ac:dyDescent="0.3">
      <c r="A7" s="48"/>
      <c r="B7" s="64" t="s">
        <v>0</v>
      </c>
      <c r="C7" s="53" t="s">
        <v>1</v>
      </c>
      <c r="D7" s="27" t="s">
        <v>2</v>
      </c>
      <c r="E7" s="53" t="s">
        <v>3</v>
      </c>
      <c r="F7" s="27" t="s">
        <v>4</v>
      </c>
      <c r="G7" s="17"/>
      <c r="H7" s="48"/>
      <c r="I7" s="64" t="s">
        <v>0</v>
      </c>
      <c r="J7" s="64" t="s">
        <v>1</v>
      </c>
      <c r="K7" s="64" t="s">
        <v>2</v>
      </c>
      <c r="L7" s="53" t="s">
        <v>3</v>
      </c>
      <c r="M7" s="27" t="s">
        <v>4</v>
      </c>
    </row>
    <row r="8" spans="1:19" ht="15.75" thickBot="1" x14ac:dyDescent="0.3">
      <c r="A8" s="48"/>
      <c r="B8" s="48">
        <f>IF('Stellen Betreutes Wohnen'!B3=Berechnungsgrundlagen!A10,Berechnungsgrundlagen!M10,IF('Stellen Betreutes Wohnen'!B3=Berechnungsgrundlagen!A11,Berechnungsgrundlagen!M11,IF('Stellen Betreutes Wohnen'!B3=Berechnungsgrundlagen!A12,Berechnungsgrundlagen!M12,IF('Stellen Betreutes Wohnen'!B3=Berechnungsgrundlagen!A13,Berechnungsgrundlagen!M13,0))))</f>
        <v>0</v>
      </c>
      <c r="C8" s="48">
        <f>IF('Stellen Betreutes Wohnen'!C3=Berechnungsgrundlagen!A10,Berechnungsgrundlagen!M10,IF('Stellen Betreutes Wohnen'!C3=Berechnungsgrundlagen!A11,Berechnungsgrundlagen!M11,IF('Stellen Betreutes Wohnen'!C3=Berechnungsgrundlagen!A12,Berechnungsgrundlagen!M12,IF('Stellen Betreutes Wohnen'!C3=Berechnungsgrundlagen!A13,Berechnungsgrundlagen!M13,0))))</f>
        <v>0</v>
      </c>
      <c r="D8" s="63">
        <f>IF('Stellen Betreutes Wohnen'!D3=Berechnungsgrundlagen!A10,Berechnungsgrundlagen!M10,IF('Stellen Betreutes Wohnen'!D3=Berechnungsgrundlagen!A11,Berechnungsgrundlagen!M11,IF('Stellen Betreutes Wohnen'!D3=Berechnungsgrundlagen!A12,Berechnungsgrundlagen!M12,IF('Stellen Betreutes Wohnen'!D3=Berechnungsgrundlagen!A13,Berechnungsgrundlagen!M13,0))))</f>
        <v>0</v>
      </c>
      <c r="E8" s="48">
        <f>IF('Stellen Betreutes Wohnen'!E3=Berechnungsgrundlagen!A10,Berechnungsgrundlagen!M10,IF('Stellen Betreutes Wohnen'!E3=Berechnungsgrundlagen!A11,Berechnungsgrundlagen!M11,IF('Stellen Betreutes Wohnen'!E3=Berechnungsgrundlagen!A12,Berechnungsgrundlagen!M12,IF('Stellen Betreutes Wohnen'!E3=Berechnungsgrundlagen!A13,Berechnungsgrundlagen!M13,0))))</f>
        <v>0</v>
      </c>
      <c r="F8" s="114">
        <f>IF('Stellen Betreutes Wohnen'!F3=Berechnungsgrundlagen!A10,Berechnungsgrundlagen!M10,IF('Stellen Betreutes Wohnen'!F3=Berechnungsgrundlagen!A11,Berechnungsgrundlagen!M11,IF('Stellen Betreutes Wohnen'!F3=Berechnungsgrundlagen!A12,Berechnungsgrundlagen!M12,IF('Stellen Betreutes Wohnen'!F3=Berechnungsgrundlagen!A13,Berechnungsgrundlagen!M13,0))))</f>
        <v>0</v>
      </c>
      <c r="G8" s="17"/>
      <c r="H8" s="48"/>
      <c r="I8" s="48">
        <f>'Stellen Begleitetes Wohnen'!B3*0.2</f>
        <v>0</v>
      </c>
      <c r="J8" s="48">
        <f>'Stellen Begleitetes Wohnen'!C3*0.2</f>
        <v>0</v>
      </c>
      <c r="K8" s="48">
        <f>'Stellen Begleitetes Wohnen'!D3*0.2</f>
        <v>0</v>
      </c>
      <c r="L8" s="48">
        <f>'Stellen Begleitetes Wohnen'!E3*0.2</f>
        <v>0</v>
      </c>
      <c r="M8" s="53">
        <f>'Stellen Begleitetes Wohnen'!F3*0.2</f>
        <v>0</v>
      </c>
    </row>
    <row r="9" spans="1:19" ht="15.75" thickBot="1" x14ac:dyDescent="0.3">
      <c r="A9" s="10" t="s">
        <v>111</v>
      </c>
      <c r="B9" s="64">
        <f>B8-B38</f>
        <v>0</v>
      </c>
      <c r="C9" s="53">
        <f t="shared" ref="C9:F9" si="0">C8-C38</f>
        <v>0</v>
      </c>
      <c r="D9" s="25">
        <f t="shared" si="0"/>
        <v>0</v>
      </c>
      <c r="E9" s="53">
        <f t="shared" si="0"/>
        <v>0</v>
      </c>
      <c r="F9" s="27">
        <f t="shared" si="0"/>
        <v>0</v>
      </c>
      <c r="G9" s="17"/>
      <c r="H9" s="64" t="s">
        <v>74</v>
      </c>
      <c r="I9" s="25"/>
      <c r="J9" s="25"/>
      <c r="K9" s="25"/>
      <c r="L9" s="25"/>
      <c r="M9" s="27"/>
    </row>
    <row r="10" spans="1:19" ht="15.75" thickBot="1" x14ac:dyDescent="0.3">
      <c r="A10" s="83" t="s">
        <v>113</v>
      </c>
      <c r="B10" s="17"/>
      <c r="C10" s="20"/>
      <c r="D10" s="20"/>
      <c r="E10" s="20"/>
      <c r="F10" s="23"/>
      <c r="G10" s="17"/>
      <c r="H10" s="63" t="s">
        <v>60</v>
      </c>
      <c r="I10" s="63">
        <v>1.5</v>
      </c>
      <c r="J10" s="63">
        <v>1.5</v>
      </c>
      <c r="K10" s="63">
        <v>1.5</v>
      </c>
      <c r="L10" s="63">
        <v>1.5</v>
      </c>
      <c r="M10" s="117">
        <v>1.5</v>
      </c>
    </row>
    <row r="11" spans="1:19" x14ac:dyDescent="0.25">
      <c r="A11" s="76" t="s">
        <v>60</v>
      </c>
      <c r="B11" s="117">
        <f>IF('Stellen Betreutes Wohnen'!B3=Berechnungsgrundlagen!$A$10,Berechnungsgrundlagen!$Q$16,IF('Stellen Betreutes Wohnen'!B3=Berechnungsgrundlagen!$A$17,Berechnungsgrundlagen!$Q$17,IF('Stellen Betreutes Wohnen'!B3=Berechnungsgrundlagen!$A$18,Berechnungsgrundlagen!$Q$18,IF('Stellen Betreutes Wohnen'!B3=Berechnungsgrundlagen!$A$19,Berechnungsgrundlagen!$Q$19,0))))</f>
        <v>0</v>
      </c>
      <c r="C11" s="16">
        <f>IF('Stellen Betreutes Wohnen'!C3=Berechnungsgrundlagen!$A$10,Berechnungsgrundlagen!$Q$16,IF('Stellen Betreutes Wohnen'!C3=Berechnungsgrundlagen!$A$17,Berechnungsgrundlagen!$Q$17,IF('Stellen Betreutes Wohnen'!C3=Berechnungsgrundlagen!$A$18,Berechnungsgrundlagen!$Q$18,IF('Stellen Betreutes Wohnen'!C3=Berechnungsgrundlagen!$A$19,Berechnungsgrundlagen!$Q$19,0))))</f>
        <v>0</v>
      </c>
      <c r="D11" s="16">
        <f>IF('Stellen Betreutes Wohnen'!D3=Berechnungsgrundlagen!$A$10,Berechnungsgrundlagen!$Q$16,IF('Stellen Betreutes Wohnen'!D3=Berechnungsgrundlagen!$A$17,Berechnungsgrundlagen!$Q$17,IF('Stellen Betreutes Wohnen'!D3=Berechnungsgrundlagen!$A$18,Berechnungsgrundlagen!$Q$18,IF('Stellen Betreutes Wohnen'!D3=Berechnungsgrundlagen!$A$19,Berechnungsgrundlagen!$Q$19,0))))</f>
        <v>0</v>
      </c>
      <c r="E11" s="16">
        <f>IF('Stellen Betreutes Wohnen'!E3=Berechnungsgrundlagen!$A$10,Berechnungsgrundlagen!$Q$16,IF('Stellen Betreutes Wohnen'!E3=Berechnungsgrundlagen!$A$17,Berechnungsgrundlagen!$Q$17,IF('Stellen Betreutes Wohnen'!E3=Berechnungsgrundlagen!$A$18,Berechnungsgrundlagen!$Q$18,IF('Stellen Betreutes Wohnen'!E3=Berechnungsgrundlagen!$A$19,Berechnungsgrundlagen!$Q$19,0))))</f>
        <v>0</v>
      </c>
      <c r="F11" s="16">
        <f>IF('Stellen Betreutes Wohnen'!F3=Berechnungsgrundlagen!$A$10,Berechnungsgrundlagen!$Q$16,IF('Stellen Betreutes Wohnen'!F3=Berechnungsgrundlagen!$A$17,Berechnungsgrundlagen!$Q$17,IF('Stellen Betreutes Wohnen'!F3=Berechnungsgrundlagen!$A$18,Berechnungsgrundlagen!$Q$18,IF('Stellen Betreutes Wohnen'!F3=Berechnungsgrundlagen!$A$19,Berechnungsgrundlagen!$Q$19,0))))</f>
        <v>0</v>
      </c>
      <c r="G11" s="17"/>
      <c r="H11" s="74" t="s">
        <v>37</v>
      </c>
      <c r="I11" s="128">
        <f>(I8*I10)-I8</f>
        <v>0</v>
      </c>
      <c r="J11" s="128">
        <f>(J8*J10)-J8</f>
        <v>0</v>
      </c>
      <c r="K11" s="128">
        <f>(K8*K10)-K8</f>
        <v>0</v>
      </c>
      <c r="L11" s="128">
        <f>(L8*L10)-L8</f>
        <v>0</v>
      </c>
      <c r="M11" s="118">
        <f>(M8*M10)-M8</f>
        <v>0</v>
      </c>
    </row>
    <row r="12" spans="1:19" ht="15.75" thickBot="1" x14ac:dyDescent="0.3">
      <c r="A12" s="48" t="s">
        <v>37</v>
      </c>
      <c r="B12" s="118">
        <f>IF('Stellen Betreutes Wohnen'!B11&gt;3,(B9*B11)-B9,0)</f>
        <v>0</v>
      </c>
      <c r="C12" s="118">
        <f>IF('Stellen Betreutes Wohnen'!C11&gt;3,(C9*C11)-C9,0)</f>
        <v>0</v>
      </c>
      <c r="D12" s="118">
        <f>IF('Stellen Betreutes Wohnen'!D11&gt;3,(D9*D11)-D9,0)</f>
        <v>0</v>
      </c>
      <c r="E12" s="118">
        <f>IF('Stellen Betreutes Wohnen'!E11&gt;3,(E9*E11)-E9,0)</f>
        <v>0</v>
      </c>
      <c r="F12" s="118">
        <f>IF('Stellen Betreutes Wohnen'!F11&gt;3,(F9*F11)-F9,0)</f>
        <v>0</v>
      </c>
      <c r="G12" s="17"/>
      <c r="H12" s="123" t="s">
        <v>41</v>
      </c>
      <c r="I12" s="65">
        <f>IF(ISBLANK('Stellen Begleitetes Wohnen'!B4),0,I11)</f>
        <v>0</v>
      </c>
      <c r="J12" s="65">
        <f>IF(ISBLANK('Stellen Begleitetes Wohnen'!C4),0,J11)</f>
        <v>0</v>
      </c>
      <c r="K12" s="65">
        <f>IF(ISBLANK('Stellen Begleitetes Wohnen'!D4),0,K11)</f>
        <v>0</v>
      </c>
      <c r="L12" s="65">
        <f>IF(ISBLANK('Stellen Begleitetes Wohnen'!E4),0,L11)</f>
        <v>0</v>
      </c>
      <c r="M12" s="119">
        <f>IF(ISBLANK('Stellen Begleitetes Wohnen'!F4),0,M11)</f>
        <v>0</v>
      </c>
    </row>
    <row r="13" spans="1:19" ht="15.75" thickBot="1" x14ac:dyDescent="0.3">
      <c r="A13" s="65" t="s">
        <v>41</v>
      </c>
      <c r="B13" s="110">
        <f>IF('Stellen Betreutes Wohnen'!B6=Berechnungsgrundlagen!$E$3,Berechnungen!B12,IF('Stellen Betreutes Wohnen'!B7=Berechnungsgrundlagen!$E$3,Berechnungen!B12,IF('Stellen Betreutes Wohnen'!B8=Berechnungsgrundlagen!$E$3,Berechnungen!B12,IF('Stellen Betreutes Wohnen'!B9=Berechnungsgrundlagen!$E$3,Berechnungen!B12,0))))</f>
        <v>0</v>
      </c>
      <c r="C13" s="23">
        <f>IF('Stellen Betreutes Wohnen'!C6=Berechnungsgrundlagen!$E$3,Berechnungen!C12,IF('Stellen Betreutes Wohnen'!C7=Berechnungsgrundlagen!$E$3,Berechnungen!C12,IF('Stellen Betreutes Wohnen'!C8=Berechnungsgrundlagen!$E$3,Berechnungen!C12,IF('Stellen Betreutes Wohnen'!C9=Berechnungsgrundlagen!$E$3,Berechnungen!C12,0))))</f>
        <v>0</v>
      </c>
      <c r="D13" s="23">
        <f>IF('Stellen Betreutes Wohnen'!D6=Berechnungsgrundlagen!$E$3,Berechnungen!D12,IF('Stellen Betreutes Wohnen'!D7=Berechnungsgrundlagen!$E$3,Berechnungen!D12,IF('Stellen Betreutes Wohnen'!D8=Berechnungsgrundlagen!$E$3,Berechnungen!D12,IF('Stellen Betreutes Wohnen'!D9=Berechnungsgrundlagen!$E$3,Berechnungen!D12,0))))</f>
        <v>0</v>
      </c>
      <c r="E13" s="23">
        <f>IF('Stellen Betreutes Wohnen'!E6=Berechnungsgrundlagen!$E$3,Berechnungen!E12,IF('Stellen Betreutes Wohnen'!E7=Berechnungsgrundlagen!$E$3,Berechnungen!E12,IF('Stellen Betreutes Wohnen'!E8=Berechnungsgrundlagen!$E$3,Berechnungen!E12,IF('Stellen Betreutes Wohnen'!E9=Berechnungsgrundlagen!$E$3,Berechnungen!E12,0))))</f>
        <v>0</v>
      </c>
      <c r="F13" s="23">
        <f>IF('Stellen Betreutes Wohnen'!F6=Berechnungsgrundlagen!$E$3,Berechnungen!F12,IF('Stellen Betreutes Wohnen'!F7=Berechnungsgrundlagen!$E$3,Berechnungen!F12,IF('Stellen Betreutes Wohnen'!F8=Berechnungsgrundlagen!$E$3,Berechnungen!F12,IF('Stellen Betreutes Wohnen'!F9=Berechnungsgrundlagen!$E$3,Berechnungen!F12,0))))</f>
        <v>0</v>
      </c>
      <c r="G13" s="17"/>
    </row>
    <row r="14" spans="1:19" ht="15.75" thickBot="1" x14ac:dyDescent="0.3">
      <c r="A14" s="26" t="s">
        <v>119</v>
      </c>
      <c r="B14" s="25"/>
      <c r="C14" s="25"/>
      <c r="D14" s="25"/>
      <c r="E14" s="25"/>
      <c r="F14" s="27"/>
      <c r="G14" s="17"/>
    </row>
    <row r="15" spans="1:19" x14ac:dyDescent="0.25">
      <c r="A15" s="63" t="s">
        <v>60</v>
      </c>
      <c r="B15" s="117">
        <f>IF('Stellen Betreutes Wohnen'!B3=Berechnungsgrundlagen!$A$10,Berechnungsgrundlagen!$G$16,IF('Stellen Betreutes Wohnen'!B3=Berechnungsgrundlagen!$A$17,Berechnungsgrundlagen!$G$17,IF('Stellen Betreutes Wohnen'!B3=Berechnungsgrundlagen!$A$18,Berechnungsgrundlagen!$G$18,IF('Stellen Betreutes Wohnen'!B3=Berechnungsgrundlagen!$A$19,Berechnungsgrundlagen!$G$19,0))))</f>
        <v>0</v>
      </c>
      <c r="C15" s="117">
        <f>IF('Stellen Betreutes Wohnen'!C3=Berechnungsgrundlagen!$A$10,Berechnungsgrundlagen!$G$16,IF('Stellen Betreutes Wohnen'!C3=Berechnungsgrundlagen!$A$17,Berechnungsgrundlagen!$G$17,IF('Stellen Betreutes Wohnen'!C3=Berechnungsgrundlagen!$A$18,Berechnungsgrundlagen!$G$18,IF('Stellen Betreutes Wohnen'!C3=Berechnungsgrundlagen!$A$19,Berechnungsgrundlagen!$G$19,0))))</f>
        <v>0</v>
      </c>
      <c r="D15" s="17">
        <f>IF('Stellen Betreutes Wohnen'!D3=Berechnungsgrundlagen!$A$10,Berechnungsgrundlagen!$G$16,IF('Stellen Betreutes Wohnen'!D3=Berechnungsgrundlagen!$A$17,Berechnungsgrundlagen!$G$17,IF('Stellen Betreutes Wohnen'!D3=Berechnungsgrundlagen!$A$18,Berechnungsgrundlagen!$G$18,IF('Stellen Betreutes Wohnen'!D3=Berechnungsgrundlagen!$A$19,Berechnungsgrundlagen!$G$19,0))))</f>
        <v>0</v>
      </c>
      <c r="E15" s="117">
        <f>IF('Stellen Betreutes Wohnen'!E3=Berechnungsgrundlagen!$A$10,Berechnungsgrundlagen!$G$16,IF('Stellen Betreutes Wohnen'!E3=Berechnungsgrundlagen!$A$17,Berechnungsgrundlagen!$G$17,IF('Stellen Betreutes Wohnen'!E3=Berechnungsgrundlagen!$A$18,Berechnungsgrundlagen!$G$18,IF('Stellen Betreutes Wohnen'!E3=Berechnungsgrundlagen!$A$19,Berechnungsgrundlagen!$G$19,0))))</f>
        <v>0</v>
      </c>
      <c r="F15" s="18">
        <f>IF('Stellen Betreutes Wohnen'!F3=Berechnungsgrundlagen!$A$10,Berechnungsgrundlagen!$G$16,IF('Stellen Betreutes Wohnen'!F3=Berechnungsgrundlagen!$A$17,Berechnungsgrundlagen!$G$17,IF('Stellen Betreutes Wohnen'!F3=Berechnungsgrundlagen!$A$18,Berechnungsgrundlagen!$G$18,IF('Stellen Betreutes Wohnen'!F3=Berechnungsgrundlagen!$A$19,Berechnungsgrundlagen!$G$19,0))))</f>
        <v>0</v>
      </c>
      <c r="G15" s="17"/>
    </row>
    <row r="16" spans="1:19" x14ac:dyDescent="0.25">
      <c r="A16" s="48" t="s">
        <v>37</v>
      </c>
      <c r="B16" s="114">
        <f>((B9*B15)-B9)*('Stellen Betreutes Wohnen'!B12/100)</f>
        <v>0</v>
      </c>
      <c r="C16" s="114">
        <f>((C9*C15)-C9)*('Stellen Betreutes Wohnen'!C12/100)</f>
        <v>0</v>
      </c>
      <c r="D16" s="114">
        <f>((D9*D15)-D9)*('Stellen Betreutes Wohnen'!D12/100)</f>
        <v>0</v>
      </c>
      <c r="E16" s="114">
        <f>((E9*E15)-E9)*('Stellen Betreutes Wohnen'!E12/100)</f>
        <v>0</v>
      </c>
      <c r="F16" s="114">
        <f>((F9*F15)-F9)*('Stellen Betreutes Wohnen'!F12/100)</f>
        <v>0</v>
      </c>
      <c r="G16" s="17"/>
      <c r="J16" s="17"/>
    </row>
    <row r="17" spans="1:9" ht="15.75" thickBot="1" x14ac:dyDescent="0.3">
      <c r="A17" s="65" t="s">
        <v>41</v>
      </c>
      <c r="B17" s="119">
        <f>IF('Stellen Betreutes Wohnen'!B6=Berechnungsgrundlagen!$E$2,Berechnungen!B16,IF('Stellen Betreutes Wohnen'!B7=Berechnungsgrundlagen!$E$2,Berechnungen!B16,IF('Stellen Betreutes Wohnen'!B8=Berechnungsgrundlagen!$E$2,Berechnungen!B16,IF('Stellen Betreutes Wohnen'!B9=Berechnungsgrundlagen!$E$2,Berechnungen!B16,0))))</f>
        <v>0</v>
      </c>
      <c r="C17" s="119">
        <f>IF('Stellen Betreutes Wohnen'!C6=Berechnungsgrundlagen!$E$2,Berechnungen!C16,IF('Stellen Betreutes Wohnen'!C7=Berechnungsgrundlagen!$E$2,Berechnungen!C16,IF('Stellen Betreutes Wohnen'!C8=Berechnungsgrundlagen!$E$2,Berechnungen!C16,IF('Stellen Betreutes Wohnen'!C9=Berechnungsgrundlagen!$E$2,Berechnungen!C16,0))))</f>
        <v>0</v>
      </c>
      <c r="D17" s="67">
        <f>IF('Stellen Betreutes Wohnen'!D6=Berechnungsgrundlagen!$E$2,Berechnungen!D16,IF('Stellen Betreutes Wohnen'!D7=Berechnungsgrundlagen!$E$2,Berechnungen!D16,IF('Stellen Betreutes Wohnen'!D8=Berechnungsgrundlagen!$E$2,Berechnungen!D16,IF('Stellen Betreutes Wohnen'!D9=Berechnungsgrundlagen!$E$2,Berechnungen!D16,0))))</f>
        <v>0</v>
      </c>
      <c r="E17" s="119">
        <f>IF('Stellen Betreutes Wohnen'!E6=Berechnungsgrundlagen!$E$2,Berechnungen!E16,IF('Stellen Betreutes Wohnen'!E7=Berechnungsgrundlagen!$E$2,Berechnungen!E16,IF('Stellen Betreutes Wohnen'!E8=Berechnungsgrundlagen!$E$2,Berechnungen!E16,IF('Stellen Betreutes Wohnen'!E9=Berechnungsgrundlagen!$E$2,Berechnungen!E16,0))))</f>
        <v>0</v>
      </c>
      <c r="F17" s="66">
        <f>IF('Stellen Betreutes Wohnen'!F6=Berechnungsgrundlagen!$E$2,Berechnungen!F16,IF('Stellen Betreutes Wohnen'!F7=Berechnungsgrundlagen!$E$2,Berechnungen!F16,IF('Stellen Betreutes Wohnen'!F8=Berechnungsgrundlagen!$E$2,Berechnungen!F16,IF('Stellen Betreutes Wohnen'!F9=Berechnungsgrundlagen!$E$2,Berechnungen!F16,0))))</f>
        <v>0</v>
      </c>
      <c r="G17" s="17"/>
    </row>
    <row r="18" spans="1:9" ht="15.75" thickBot="1" x14ac:dyDescent="0.3">
      <c r="A18" s="26" t="s">
        <v>18</v>
      </c>
      <c r="B18" s="25"/>
      <c r="C18" s="25"/>
      <c r="D18" s="25"/>
      <c r="E18" s="25"/>
      <c r="F18" s="27"/>
      <c r="G18" s="17"/>
    </row>
    <row r="19" spans="1:9" x14ac:dyDescent="0.25">
      <c r="A19" s="63" t="s">
        <v>60</v>
      </c>
      <c r="B19" s="117">
        <f>IF('Stellen Betreutes Wohnen'!B3=Berechnungsgrundlagen!$A$10,Berechnungsgrundlagen!$G$16,IF('Stellen Betreutes Wohnen'!B3=Berechnungsgrundlagen!$A$17,Berechnungsgrundlagen!$G$17,IF('Stellen Betreutes Wohnen'!B3=Berechnungsgrundlagen!$A$18,Berechnungsgrundlagen!$G$18,IF('Stellen Betreutes Wohnen'!B3=Berechnungsgrundlagen!$A$19,Berechnungsgrundlagen!$G$19,0))))</f>
        <v>0</v>
      </c>
      <c r="C19" s="117">
        <f>IF('Stellen Betreutes Wohnen'!C3=Berechnungsgrundlagen!$A$10,Berechnungsgrundlagen!$G$16,IF('Stellen Betreutes Wohnen'!C3=Berechnungsgrundlagen!$A$17,Berechnungsgrundlagen!$G$17,IF('Stellen Betreutes Wohnen'!C3=Berechnungsgrundlagen!$A$18,Berechnungsgrundlagen!$G$18,IF('Stellen Betreutes Wohnen'!C3=Berechnungsgrundlagen!$A$19,Berechnungsgrundlagen!$G$19,0))))</f>
        <v>0</v>
      </c>
      <c r="D19" s="17">
        <f>IF('Stellen Betreutes Wohnen'!D3=Berechnungsgrundlagen!$A$10,Berechnungsgrundlagen!$G$16,IF('Stellen Betreutes Wohnen'!D3=Berechnungsgrundlagen!$A$17,Berechnungsgrundlagen!$G$17,IF('Stellen Betreutes Wohnen'!D3=Berechnungsgrundlagen!$A$18,Berechnungsgrundlagen!$G$18,IF('Stellen Betreutes Wohnen'!D3=Berechnungsgrundlagen!$A$19,Berechnungsgrundlagen!$G$19,0))))</f>
        <v>0</v>
      </c>
      <c r="E19" s="117">
        <f>IF('Stellen Betreutes Wohnen'!E3=Berechnungsgrundlagen!$A$10,Berechnungsgrundlagen!$G$16,IF('Stellen Betreutes Wohnen'!E3=Berechnungsgrundlagen!$A$17,Berechnungsgrundlagen!$G$17,IF('Stellen Betreutes Wohnen'!E3=Berechnungsgrundlagen!$A$18,Berechnungsgrundlagen!$G$18,IF('Stellen Betreutes Wohnen'!E3=Berechnungsgrundlagen!$A$19,Berechnungsgrundlagen!$G$19,0))))</f>
        <v>0</v>
      </c>
      <c r="F19" s="18">
        <f>IF('Stellen Betreutes Wohnen'!F3=Berechnungsgrundlagen!$A$10,Berechnungsgrundlagen!$G$16,IF('Stellen Betreutes Wohnen'!F3=Berechnungsgrundlagen!$A$17,Berechnungsgrundlagen!$G$17,IF('Stellen Betreutes Wohnen'!F3=Berechnungsgrundlagen!$A$18,Berechnungsgrundlagen!$G$18,IF('Stellen Betreutes Wohnen'!F3=Berechnungsgrundlagen!$A$19,Berechnungsgrundlagen!$G$19,0))))</f>
        <v>0</v>
      </c>
      <c r="G19" s="17"/>
      <c r="H19" s="17"/>
      <c r="I19" s="17"/>
    </row>
    <row r="20" spans="1:9" x14ac:dyDescent="0.25">
      <c r="A20" s="48" t="s">
        <v>37</v>
      </c>
      <c r="B20" s="114">
        <f>(B9*B19)-B9</f>
        <v>0</v>
      </c>
      <c r="C20" s="114">
        <f t="shared" ref="C20:F20" si="1">(C9*C19)-C9</f>
        <v>0</v>
      </c>
      <c r="D20" s="114">
        <f t="shared" si="1"/>
        <v>0</v>
      </c>
      <c r="E20" s="114">
        <f t="shared" si="1"/>
        <v>0</v>
      </c>
      <c r="F20" s="114">
        <f t="shared" si="1"/>
        <v>0</v>
      </c>
      <c r="G20" s="17"/>
      <c r="H20" s="17"/>
      <c r="I20" s="17"/>
    </row>
    <row r="21" spans="1:9" ht="15.75" thickBot="1" x14ac:dyDescent="0.3">
      <c r="A21" s="65" t="s">
        <v>41</v>
      </c>
      <c r="B21" s="119">
        <f>IF('Stellen Betreutes Wohnen'!B6=Berechnungsgrundlagen!$E$5,Berechnungen!B20,IF('Stellen Betreutes Wohnen'!B7=Berechnungsgrundlagen!$E$5,Berechnungen!B20,IF('Stellen Betreutes Wohnen'!B8=Berechnungsgrundlagen!$E$5,Berechnungen!B20,IF('Stellen Betreutes Wohnen'!B9=Berechnungsgrundlagen!$E$5,Berechnungen!B20,0))))</f>
        <v>0</v>
      </c>
      <c r="C21" s="119">
        <f>IF('Stellen Betreutes Wohnen'!C6=Berechnungsgrundlagen!$E$5,Berechnungen!C20,IF('Stellen Betreutes Wohnen'!C7=Berechnungsgrundlagen!$E$5,Berechnungen!C20,IF('Stellen Betreutes Wohnen'!C8=Berechnungsgrundlagen!$E$5,Berechnungen!C20,IF('Stellen Betreutes Wohnen'!C9=Berechnungsgrundlagen!$E$5,Berechnungen!C20,0))))</f>
        <v>0</v>
      </c>
      <c r="D21" s="67">
        <f>IF('Stellen Betreutes Wohnen'!D6=Berechnungsgrundlagen!$E$5,Berechnungen!D20,IF('Stellen Betreutes Wohnen'!D7=Berechnungsgrundlagen!$E$5,Berechnungen!D20,IF('Stellen Betreutes Wohnen'!D8=Berechnungsgrundlagen!$E$5,Berechnungen!D20,IF('Stellen Betreutes Wohnen'!D9=Berechnungsgrundlagen!$E$5,Berechnungen!D20,0))))</f>
        <v>0</v>
      </c>
      <c r="E21" s="119">
        <f>IF('Stellen Betreutes Wohnen'!E6=Berechnungsgrundlagen!$E$5,Berechnungen!E20,IF('Stellen Betreutes Wohnen'!E7=Berechnungsgrundlagen!$E$5,Berechnungen!E20,IF('Stellen Betreutes Wohnen'!E8=Berechnungsgrundlagen!$E$5,Berechnungen!E20,IF('Stellen Betreutes Wohnen'!E9=Berechnungsgrundlagen!$E$5,Berechnungen!E20,0))))</f>
        <v>0</v>
      </c>
      <c r="F21" s="66">
        <f>IF('Stellen Betreutes Wohnen'!F6=Berechnungsgrundlagen!$E$5,Berechnungen!F20,IF('Stellen Betreutes Wohnen'!F7=Berechnungsgrundlagen!$E$5,Berechnungen!F20,IF('Stellen Betreutes Wohnen'!F8=Berechnungsgrundlagen!$E$5,Berechnungen!F20,IF('Stellen Betreutes Wohnen'!F9=Berechnungsgrundlagen!$E$5,Berechnungen!F20,0))))</f>
        <v>0</v>
      </c>
      <c r="G21" s="17"/>
      <c r="H21" s="17"/>
      <c r="I21" s="17"/>
    </row>
    <row r="22" spans="1:9" ht="15.75" thickBot="1" x14ac:dyDescent="0.3">
      <c r="A22" s="115" t="s">
        <v>51</v>
      </c>
      <c r="B22" s="17"/>
      <c r="C22" s="17"/>
      <c r="D22" s="17"/>
      <c r="E22" s="17"/>
      <c r="F22" s="18"/>
      <c r="G22" s="17"/>
      <c r="H22" s="17"/>
      <c r="I22" s="17"/>
    </row>
    <row r="23" spans="1:9" x14ac:dyDescent="0.25">
      <c r="A23" s="76" t="s">
        <v>60</v>
      </c>
      <c r="B23" s="117">
        <f>IF('Stellen Betreutes Wohnen'!B3=Berechnungsgrundlagen!$A$10,Berechnungsgrundlagen!$L$16,IF('Stellen Betreutes Wohnen'!B3=Berechnungsgrundlagen!$A$17,Berechnungsgrundlagen!$L$17,IF('Stellen Betreutes Wohnen'!B3=Berechnungsgrundlagen!$A$18,Berechnungsgrundlagen!$L$18,IF('Stellen Betreutes Wohnen'!B3=Berechnungsgrundlagen!$A$19,Berechnungsgrundlagen!$L$19,0))))</f>
        <v>0</v>
      </c>
      <c r="C23" s="117">
        <f>IF('Stellen Betreutes Wohnen'!C3=Berechnungsgrundlagen!$A$10,Berechnungsgrundlagen!$L$16,IF('Stellen Betreutes Wohnen'!C3=Berechnungsgrundlagen!$A$17,Berechnungsgrundlagen!$L$17,IF('Stellen Betreutes Wohnen'!C3=Berechnungsgrundlagen!$A$18,Berechnungsgrundlagen!$L$18,IF('Stellen Betreutes Wohnen'!C3=Berechnungsgrundlagen!$A$19,Berechnungsgrundlagen!$L$19,0))))</f>
        <v>0</v>
      </c>
      <c r="D23" s="15">
        <f>IF('Stellen Betreutes Wohnen'!D3=Berechnungsgrundlagen!$A$10,Berechnungsgrundlagen!$L$16,IF('Stellen Betreutes Wohnen'!D3=Berechnungsgrundlagen!$A$17,Berechnungsgrundlagen!$L$17,IF('Stellen Betreutes Wohnen'!D3=Berechnungsgrundlagen!$A$18,Berechnungsgrundlagen!$L$18,IF('Stellen Betreutes Wohnen'!D3=Berechnungsgrundlagen!$A$19,Berechnungsgrundlagen!$L$19,0))))</f>
        <v>0</v>
      </c>
      <c r="E23" s="117">
        <f>IF('Stellen Betreutes Wohnen'!E3=Berechnungsgrundlagen!$A$10,Berechnungsgrundlagen!$L$16,IF('Stellen Betreutes Wohnen'!E3=Berechnungsgrundlagen!$A$17,Berechnungsgrundlagen!$L$17,IF('Stellen Betreutes Wohnen'!E3=Berechnungsgrundlagen!$A$18,Berechnungsgrundlagen!$L$18,IF('Stellen Betreutes Wohnen'!E3=Berechnungsgrundlagen!$A$19,Berechnungsgrundlagen!$L$19,0))))</f>
        <v>0</v>
      </c>
      <c r="F23" s="16">
        <f>IF('Stellen Betreutes Wohnen'!F3=Berechnungsgrundlagen!$A$10,Berechnungsgrundlagen!$L$16,IF('Stellen Betreutes Wohnen'!F3=Berechnungsgrundlagen!$A$17,Berechnungsgrundlagen!$L$17,IF('Stellen Betreutes Wohnen'!F3=Berechnungsgrundlagen!$A$18,Berechnungsgrundlagen!$L$18,IF('Stellen Betreutes Wohnen'!F3=Berechnungsgrundlagen!$A$19,Berechnungsgrundlagen!$L$19,0))))</f>
        <v>0</v>
      </c>
      <c r="G23" s="17"/>
      <c r="H23" s="17"/>
      <c r="I23" s="17"/>
    </row>
    <row r="24" spans="1:9" x14ac:dyDescent="0.25">
      <c r="A24" s="74" t="s">
        <v>37</v>
      </c>
      <c r="B24" s="114">
        <f>(B9*B23)-B9</f>
        <v>0</v>
      </c>
      <c r="C24" s="114">
        <f t="shared" ref="C24:F24" si="2">(C9*C23)-C9</f>
        <v>0</v>
      </c>
      <c r="D24" s="114">
        <f t="shared" si="2"/>
        <v>0</v>
      </c>
      <c r="E24" s="114">
        <f t="shared" si="2"/>
        <v>0</v>
      </c>
      <c r="F24" s="114">
        <f t="shared" si="2"/>
        <v>0</v>
      </c>
      <c r="G24" s="17"/>
      <c r="H24" s="17"/>
      <c r="I24" s="17"/>
    </row>
    <row r="25" spans="1:9" ht="15.75" thickBot="1" x14ac:dyDescent="0.3">
      <c r="A25" s="75" t="s">
        <v>41</v>
      </c>
      <c r="B25" s="119">
        <f>IF('Stellen Betreutes Wohnen'!B6=Berechnungsgrundlagen!$E$4,Berechnungen!B24,IF('Stellen Betreutes Wohnen'!B7=Berechnungsgrundlagen!$E$4,Berechnungen!B24,IF('Stellen Betreutes Wohnen'!B8=Berechnungsgrundlagen!$E$4,Berechnungen!B24,IF('Stellen Betreutes Wohnen'!B9=Berechnungsgrundlagen!$E$4,Berechnungen!B24,0))))</f>
        <v>0</v>
      </c>
      <c r="C25" s="119">
        <f>IF('Stellen Betreutes Wohnen'!C6=Berechnungsgrundlagen!$E$4,Berechnungen!C24,IF('Stellen Betreutes Wohnen'!C7=Berechnungsgrundlagen!$E$4,Berechnungen!C24,IF('Stellen Betreutes Wohnen'!C8=Berechnungsgrundlagen!$E$4,Berechnungen!C24,IF('Stellen Betreutes Wohnen'!C9=Berechnungsgrundlagen!$E$4,Berechnungen!C24,0))))</f>
        <v>0</v>
      </c>
      <c r="D25" s="67">
        <f>IF('Stellen Betreutes Wohnen'!D6=Berechnungsgrundlagen!$E$4,Berechnungen!D24,IF('Stellen Betreutes Wohnen'!D7=Berechnungsgrundlagen!$E$4,Berechnungen!D24,IF('Stellen Betreutes Wohnen'!D8=Berechnungsgrundlagen!$E$4,Berechnungen!D24,IF('Stellen Betreutes Wohnen'!D9=Berechnungsgrundlagen!$E$4,Berechnungen!D24,0))))</f>
        <v>0</v>
      </c>
      <c r="E25" s="119">
        <f>IF('Stellen Betreutes Wohnen'!E6=Berechnungsgrundlagen!$E$4,Berechnungen!E24,IF('Stellen Betreutes Wohnen'!E7=Berechnungsgrundlagen!$E$4,Berechnungen!E24,IF('Stellen Betreutes Wohnen'!E8=Berechnungsgrundlagen!$E$4,Berechnungen!E24,IF('Stellen Betreutes Wohnen'!E9=Berechnungsgrundlagen!$E$4,Berechnungen!E24,0))))</f>
        <v>0</v>
      </c>
      <c r="F25" s="66">
        <f>IF('Stellen Betreutes Wohnen'!F6=Berechnungsgrundlagen!$E$4,Berechnungen!F24,IF('Stellen Betreutes Wohnen'!F7=Berechnungsgrundlagen!$E$4,Berechnungen!F24,IF('Stellen Betreutes Wohnen'!F8=Berechnungsgrundlagen!$E$4,Berechnungen!F24,IF('Stellen Betreutes Wohnen'!F9=Berechnungsgrundlagen!$E$4,Berechnungen!F24,0))))</f>
        <v>0</v>
      </c>
      <c r="G25" s="17"/>
      <c r="H25" s="17"/>
      <c r="I25" s="17"/>
    </row>
    <row r="26" spans="1:9" ht="15.75" thickBot="1" x14ac:dyDescent="0.3">
      <c r="A26" s="116" t="s">
        <v>59</v>
      </c>
      <c r="B26" s="17"/>
      <c r="C26" s="25"/>
      <c r="D26" s="25"/>
      <c r="E26" s="25"/>
      <c r="F26" s="27"/>
      <c r="G26" s="17"/>
      <c r="H26" s="17"/>
      <c r="I26" s="17"/>
    </row>
    <row r="27" spans="1:9" x14ac:dyDescent="0.25">
      <c r="A27" s="63" t="s">
        <v>60</v>
      </c>
      <c r="B27" s="117">
        <f>IF('Stellen Betreutes Wohnen'!B3=Berechnungsgrundlagen!$A$10,Berechnungsgrundlagen!$V$16,IF('Stellen Betreutes Wohnen'!B3=Berechnungsgrundlagen!$A$17,Berechnungsgrundlagen!$V$17,IF('Stellen Betreutes Wohnen'!B3=Berechnungsgrundlagen!$A$18,Berechnungsgrundlagen!$V$18,IF('Stellen Betreutes Wohnen'!B3=Berechnungsgrundlagen!$A$19,Berechnungsgrundlagen!$V$19,0))))</f>
        <v>0</v>
      </c>
      <c r="C27" s="15">
        <f>IF('Stellen Betreutes Wohnen'!C3=Berechnungsgrundlagen!$A$10,Berechnungsgrundlagen!$V$16,IF('Stellen Betreutes Wohnen'!C3=Berechnungsgrundlagen!$A$17,Berechnungsgrundlagen!$V$17,IF('Stellen Betreutes Wohnen'!C3=Berechnungsgrundlagen!$A$18,Berechnungsgrundlagen!$V$18,IF('Stellen Betreutes Wohnen'!C3=Berechnungsgrundlagen!$A$19,Berechnungsgrundlagen!$V$19,0))))</f>
        <v>0</v>
      </c>
      <c r="D27" s="117">
        <f>IF('Stellen Betreutes Wohnen'!D3=Berechnungsgrundlagen!$A$10,Berechnungsgrundlagen!$V$16,IF('Stellen Betreutes Wohnen'!D3=Berechnungsgrundlagen!$A$17,Berechnungsgrundlagen!$V$17,IF('Stellen Betreutes Wohnen'!D3=Berechnungsgrundlagen!$A$18,Berechnungsgrundlagen!$V$18,IF('Stellen Betreutes Wohnen'!D3=Berechnungsgrundlagen!$A$19,Berechnungsgrundlagen!$V$19,0))))</f>
        <v>0</v>
      </c>
      <c r="E27" s="15">
        <f>IF('Stellen Betreutes Wohnen'!E3=Berechnungsgrundlagen!$A$10,Berechnungsgrundlagen!$V$16,IF('Stellen Betreutes Wohnen'!E3=Berechnungsgrundlagen!$A$17,Berechnungsgrundlagen!$V$17,IF('Stellen Betreutes Wohnen'!E3=Berechnungsgrundlagen!$A$18,Berechnungsgrundlagen!$V$18,IF('Stellen Betreutes Wohnen'!E3=Berechnungsgrundlagen!$A$19,Berechnungsgrundlagen!$V$19,0))))</f>
        <v>0</v>
      </c>
      <c r="F27" s="117">
        <f>IF('Stellen Betreutes Wohnen'!F3=Berechnungsgrundlagen!$A$10,Berechnungsgrundlagen!$V$16,IF('Stellen Betreutes Wohnen'!F3=Berechnungsgrundlagen!$A$17,Berechnungsgrundlagen!$V$17,IF('Stellen Betreutes Wohnen'!F3=Berechnungsgrundlagen!$A$18,Berechnungsgrundlagen!$V$18,IF('Stellen Betreutes Wohnen'!F3=Berechnungsgrundlagen!$A$19,Berechnungsgrundlagen!$V$19,0))))</f>
        <v>0</v>
      </c>
      <c r="G27" s="17"/>
      <c r="H27" s="17"/>
      <c r="I27" s="17"/>
    </row>
    <row r="28" spans="1:9" x14ac:dyDescent="0.25">
      <c r="A28" s="48" t="s">
        <v>37</v>
      </c>
      <c r="B28" s="114">
        <f>(B9*B27)-B9</f>
        <v>0</v>
      </c>
      <c r="C28" s="114">
        <f t="shared" ref="C28:F28" si="3">(C9*C27)-C9</f>
        <v>0</v>
      </c>
      <c r="D28" s="114">
        <f t="shared" si="3"/>
        <v>0</v>
      </c>
      <c r="E28" s="114">
        <f t="shared" si="3"/>
        <v>0</v>
      </c>
      <c r="F28" s="114">
        <f t="shared" si="3"/>
        <v>0</v>
      </c>
      <c r="G28" s="17"/>
      <c r="H28" s="17"/>
      <c r="I28" s="17"/>
    </row>
    <row r="29" spans="1:9" ht="15.75" thickBot="1" x14ac:dyDescent="0.3">
      <c r="A29" s="65" t="s">
        <v>41</v>
      </c>
      <c r="B29" s="119">
        <f>IF('Stellen Betreutes Wohnen'!B6=Berechnungsgrundlagen!$E$6,Berechnungen!B28,IF('Stellen Betreutes Wohnen'!B7=Berechnungsgrundlagen!$E$6,Berechnungen!B28,IF('Stellen Betreutes Wohnen'!B8=Berechnungsgrundlagen!$E$6,Berechnungen!B28,IF('Stellen Betreutes Wohnen'!B9=Berechnungsgrundlagen!$E$6,Berechnungen!B28,0))))</f>
        <v>0</v>
      </c>
      <c r="C29" s="67">
        <f>IF('Stellen Betreutes Wohnen'!C6=Berechnungsgrundlagen!$E$6,Berechnungen!C28,IF('Stellen Betreutes Wohnen'!C7=Berechnungsgrundlagen!$E$6,Berechnungen!C28,IF('Stellen Betreutes Wohnen'!C8=Berechnungsgrundlagen!$E$6,Berechnungen!C28,IF('Stellen Betreutes Wohnen'!C9=Berechnungsgrundlagen!$E$6,Berechnungen!C28,0))))</f>
        <v>0</v>
      </c>
      <c r="D29" s="119">
        <f>IF('Stellen Betreutes Wohnen'!D6=Berechnungsgrundlagen!$E$6,Berechnungen!D28,IF('Stellen Betreutes Wohnen'!D7=Berechnungsgrundlagen!$E$6,Berechnungen!D28,IF('Stellen Betreutes Wohnen'!D8=Berechnungsgrundlagen!$E$6,Berechnungen!D28,IF('Stellen Betreutes Wohnen'!D9=Berechnungsgrundlagen!$E$6,Berechnungen!D28,0))))</f>
        <v>0</v>
      </c>
      <c r="E29" s="67">
        <f>IF('Stellen Betreutes Wohnen'!E6=Berechnungsgrundlagen!$E$6,Berechnungen!E28,IF('Stellen Betreutes Wohnen'!E7=Berechnungsgrundlagen!$E$6,Berechnungen!E28,IF('Stellen Betreutes Wohnen'!E8=Berechnungsgrundlagen!$E$6,Berechnungen!E28,IF('Stellen Betreutes Wohnen'!E9=Berechnungsgrundlagen!$E$6,Berechnungen!E28,0))))</f>
        <v>0</v>
      </c>
      <c r="F29" s="119">
        <f>IF('Stellen Betreutes Wohnen'!F6=Berechnungsgrundlagen!$E$6,Berechnungen!F28,IF('Stellen Betreutes Wohnen'!F7=Berechnungsgrundlagen!$E$6,Berechnungen!F28,IF('Stellen Betreutes Wohnen'!F8=Berechnungsgrundlagen!$E$6,Berechnungen!F28,IF('Stellen Betreutes Wohnen'!F9=Berechnungsgrundlagen!$E$6,Berechnungen!F28,0))))</f>
        <v>0</v>
      </c>
      <c r="G29" s="17"/>
      <c r="H29" s="17"/>
      <c r="I29" s="17"/>
    </row>
    <row r="30" spans="1:9" ht="15.75" thickBot="1" x14ac:dyDescent="0.3">
      <c r="A30" s="111" t="s">
        <v>44</v>
      </c>
      <c r="B30" s="20"/>
      <c r="C30" s="20"/>
      <c r="D30" s="20"/>
      <c r="E30" s="20"/>
      <c r="F30" s="23"/>
      <c r="G30" s="17"/>
      <c r="H30" s="17"/>
      <c r="I30" s="17"/>
    </row>
    <row r="31" spans="1:9" x14ac:dyDescent="0.25">
      <c r="A31" s="76" t="s">
        <v>29</v>
      </c>
      <c r="B31" s="117">
        <f>IF('Stellen Betreutes Wohnen'!B3=Berechnungsgrundlagen!$A$11,(Berechnungsgrundlagen!$C$23/1803)-((B13+B17+B21+B25+B29)/52),IF('Stellen Betreutes Wohnen'!B3=Berechnungsgrundlagen!$A$12,(Berechnungsgrundlagen!$C$24/1803)-((B13+B17+B21+B25+B29)/52),IF('Stellen Betreutes Wohnen'!B3=Berechnungsgrundlagen!$A$13,(Berechnungsgrundlagen!$C$25/1803)-((B13+B17+B21+B25+B29)/52),0)))</f>
        <v>0</v>
      </c>
      <c r="C31" s="16">
        <f>IF('Stellen Betreutes Wohnen'!C3=Berechnungsgrundlagen!$A$11,(Berechnungsgrundlagen!$C$23/1803)-((C13+C17+C21+C25+C29)/52),IF('Stellen Betreutes Wohnen'!C3=Berechnungsgrundlagen!$A$12,(Berechnungsgrundlagen!$C$24/1803)-((C13+C17+C21+C25+C29)/52),IF('Stellen Betreutes Wohnen'!C3=Berechnungsgrundlagen!$A$13,(Berechnungsgrundlagen!$C$25/1803)-((C13+C17+C21+C25+C29)/52),0)))</f>
        <v>0</v>
      </c>
      <c r="D31" s="16">
        <f>IF('Stellen Betreutes Wohnen'!D3=Berechnungsgrundlagen!$A$11,(Berechnungsgrundlagen!$C$23/1803)-((D13+D17+D21+D25+D29)/52),IF('Stellen Betreutes Wohnen'!D3=Berechnungsgrundlagen!$A$12,(Berechnungsgrundlagen!$C$24/1803)-((D13+D17+D21+D25+D29)/52),IF('Stellen Betreutes Wohnen'!D3=Berechnungsgrundlagen!$A$13,(Berechnungsgrundlagen!$C$25/1803)-((D13+D17+D21+D25+D29)/52),0)))</f>
        <v>0</v>
      </c>
      <c r="E31" s="16">
        <f>IF('Stellen Betreutes Wohnen'!E3=Berechnungsgrundlagen!$A$11,(Berechnungsgrundlagen!$C$23/1803)-((E13+E17+E21+E25+E29)/52),IF('Stellen Betreutes Wohnen'!E3=Berechnungsgrundlagen!$A$12,(Berechnungsgrundlagen!$C$24/1803)-((E13+E17+E21+E25+E29)/52),IF('Stellen Betreutes Wohnen'!E3=Berechnungsgrundlagen!$A$13,(Berechnungsgrundlagen!$C$25/1803)-((E13+E17+E21+E25+E29)/52),0)))</f>
        <v>0</v>
      </c>
      <c r="F31" s="16">
        <f>IF('Stellen Betreutes Wohnen'!F3=Berechnungsgrundlagen!$A$11,(Berechnungsgrundlagen!$C$23/1803)-((F13+F17+F21+F25+F29)/52),IF('Stellen Betreutes Wohnen'!F3=Berechnungsgrundlagen!$A$12,(Berechnungsgrundlagen!$C$24/1803)-((F13+F17+F21+F25+F29)/52),IF('Stellen Betreutes Wohnen'!F3=Berechnungsgrundlagen!$A$13,(Berechnungsgrundlagen!$C$25/1803)-((F13+F17+F21+F25+F29)/52),0)))</f>
        <v>0</v>
      </c>
      <c r="G31" s="17"/>
      <c r="H31" s="17"/>
      <c r="I31" s="17"/>
    </row>
    <row r="32" spans="1:9" x14ac:dyDescent="0.25">
      <c r="A32" s="74" t="s">
        <v>30</v>
      </c>
      <c r="B32" s="114">
        <f>IF('Stellen Betreutes Wohnen'!B3=Berechnungsgrundlagen!$A$11,(Berechnungsgrundlagen!$E$23/1803)-((B13+B17+B21+B25+B29)/52),IF('Stellen Betreutes Wohnen'!B3=Berechnungsgrundlagen!$A$12,(Berechnungsgrundlagen!$E$24/1803)-((B13+B17+B21+B25+B29)/52),IF('Stellen Betreutes Wohnen'!B3=Berechnungsgrundlagen!$A$13,(Berechnungsgrundlagen!$E$25/1803)-((B13+B17+B21+B25+B29)/52),0)))</f>
        <v>0</v>
      </c>
      <c r="C32" s="18">
        <f>IF('Stellen Betreutes Wohnen'!C3=Berechnungsgrundlagen!$A$11,(Berechnungsgrundlagen!$E$23/1803)-((C13+C17+C21+C25+C29)/52),IF('Stellen Betreutes Wohnen'!C3=Berechnungsgrundlagen!$A$12,(Berechnungsgrundlagen!$E$24/1803)-((C13+C17+C21+C25+C29)/52),IF('Stellen Betreutes Wohnen'!C3=Berechnungsgrundlagen!$A$13,(Berechnungsgrundlagen!$E$25/1803)-((C13+C17+C21+C25+C29)/52),0)))</f>
        <v>0</v>
      </c>
      <c r="D32" s="18">
        <f>IF('Stellen Betreutes Wohnen'!D3=Berechnungsgrundlagen!$A$11,(Berechnungsgrundlagen!$E$23/1803)-((D13+D17+D21+D25+D29)/52),IF('Stellen Betreutes Wohnen'!D3=Berechnungsgrundlagen!$A$12,(Berechnungsgrundlagen!$E$24/1803)-((D13+D17+D21+D25+D29)/52),IF('Stellen Betreutes Wohnen'!D3=Berechnungsgrundlagen!$A$13,(Berechnungsgrundlagen!$E$25/1803)-((D13+D17+D21+D25+D29)/52),0)))</f>
        <v>0</v>
      </c>
      <c r="E32" s="18">
        <f>IF('Stellen Betreutes Wohnen'!E3=Berechnungsgrundlagen!$A$11,(Berechnungsgrundlagen!$E$23/1803)-((E13+E17+E21+E25+E29)/52),IF('Stellen Betreutes Wohnen'!E3=Berechnungsgrundlagen!$A$12,(Berechnungsgrundlagen!$E$24/1803)-((E13+E17+E21+E25+E29)/52),IF('Stellen Betreutes Wohnen'!E3=Berechnungsgrundlagen!$A$13,(Berechnungsgrundlagen!$E$25/1803)-((E13+E17+E21+E25+E29)/52),0)))</f>
        <v>0</v>
      </c>
      <c r="F32" s="18">
        <f>IF('Stellen Betreutes Wohnen'!F3=Berechnungsgrundlagen!$A$11,(Berechnungsgrundlagen!$E$23/1803)-((F13+F17+F21+F25+F29)/52),IF('Stellen Betreutes Wohnen'!F3=Berechnungsgrundlagen!$A$12,(Berechnungsgrundlagen!$E$24/1803)-((F13+F17+F21+F25+F29)/52),IF('Stellen Betreutes Wohnen'!F3=Berechnungsgrundlagen!$A$13,(Berechnungsgrundlagen!$E$25/1803)-((F13+F17+F21+F25+F29)/52),0)))</f>
        <v>0</v>
      </c>
      <c r="G32" s="17"/>
      <c r="H32" s="17"/>
      <c r="I32" s="17"/>
    </row>
    <row r="33" spans="1:10" x14ac:dyDescent="0.25">
      <c r="A33" s="74" t="s">
        <v>31</v>
      </c>
      <c r="B33" s="114">
        <f>IF('Stellen Betreutes Wohnen'!B3=Berechnungsgrundlagen!$A$11,(Berechnungsgrundlagen!$G$23/1803)-((B13+B17+B21+B25+B29)/52),IF('Stellen Betreutes Wohnen'!B3=Berechnungsgrundlagen!$A$12,(Berechnungsgrundlagen!$G$24/1803)-((B13+B17+B21+B25+B29)/52),IF('Stellen Betreutes Wohnen'!B3=Berechnungsgrundlagen!$A$13,(Berechnungsgrundlagen!$G$25/1803)-((B13+B17+B21+B25+B29)/52),0)))</f>
        <v>0</v>
      </c>
      <c r="C33" s="18">
        <f>IF('Stellen Betreutes Wohnen'!C3=Berechnungsgrundlagen!$A$11,(Berechnungsgrundlagen!$G$23/1803)-((C13+C17+C21+C25+C29)/52),IF('Stellen Betreutes Wohnen'!C3=Berechnungsgrundlagen!$A$12,(Berechnungsgrundlagen!$G$24/1803)-((C13+C17+C21+C25+C29)/52),IF('Stellen Betreutes Wohnen'!C3=Berechnungsgrundlagen!$A$13,(Berechnungsgrundlagen!$G$25/1803)-((C13+C17+C21+C25+C29)/52),0)))</f>
        <v>0</v>
      </c>
      <c r="D33" s="18">
        <f>IF('Stellen Betreutes Wohnen'!D3=Berechnungsgrundlagen!$A$11,(Berechnungsgrundlagen!$G$23/1803)-((D13+D17+D21+D25+D29)/52),IF('Stellen Betreutes Wohnen'!D3=Berechnungsgrundlagen!$A$12,(Berechnungsgrundlagen!$G$24/1803)-((D13+D17+D21+D25+D29)/52),IF('Stellen Betreutes Wohnen'!D3=Berechnungsgrundlagen!$A$13,(Berechnungsgrundlagen!$G$25/1803)-((D13+D17+D21+D25+D29)/52),0)))</f>
        <v>0</v>
      </c>
      <c r="E33" s="18">
        <f>IF('Stellen Betreutes Wohnen'!E3=Berechnungsgrundlagen!$A$11,(Berechnungsgrundlagen!$G$23/1803)-((E13+E17+E21+E25+E29)/52),IF('Stellen Betreutes Wohnen'!E3=Berechnungsgrundlagen!$A$12,(Berechnungsgrundlagen!$G$24/1803)-((E13+E17+E21+E25+E29)/52),IF('Stellen Betreutes Wohnen'!E3=Berechnungsgrundlagen!$A$13,(Berechnungsgrundlagen!$G$25/1803)-((E13+E17+E21+E25+E29)/52),0)))</f>
        <v>0</v>
      </c>
      <c r="F33" s="18">
        <f>IF('Stellen Betreutes Wohnen'!F3=Berechnungsgrundlagen!$A$11,(Berechnungsgrundlagen!$G$23/1803)-((F13+F17+F21+F25+F29)/52),IF('Stellen Betreutes Wohnen'!F3=Berechnungsgrundlagen!$A$12,(Berechnungsgrundlagen!$G$24/1803)-((F13+F17+F21+F25+F29)/52),IF('Stellen Betreutes Wohnen'!F3=Berechnungsgrundlagen!$A$13,(Berechnungsgrundlagen!$G$25/1803)-((F13+F17+F21+F25+F29)/52),0)))</f>
        <v>0</v>
      </c>
      <c r="G33" s="17"/>
      <c r="H33" s="17"/>
      <c r="I33" s="17"/>
    </row>
    <row r="34" spans="1:10" ht="15.75" thickBot="1" x14ac:dyDescent="0.3">
      <c r="A34" s="75" t="s">
        <v>41</v>
      </c>
      <c r="B34" s="119">
        <f>IF('Stellen Betreutes Wohnen'!B5=Berechnungsgrundlagen!$I$22,Berechnungen!B31,IF('Stellen Betreutes Wohnen'!B5=Berechnungsgrundlagen!$I$23,Berechnungen!B32,IF('Stellen Betreutes Wohnen'!B5=Berechnungsgrundlagen!$I$24,Berechnungen!B33,0)))</f>
        <v>0</v>
      </c>
      <c r="C34" s="66">
        <f>IF('Stellen Betreutes Wohnen'!C5=Berechnungsgrundlagen!$I$22,Berechnungen!C31,IF('Stellen Betreutes Wohnen'!C5=Berechnungsgrundlagen!$I$23,Berechnungen!C32,IF('Stellen Betreutes Wohnen'!C5=Berechnungsgrundlagen!$I$24,Berechnungen!C33,0)))</f>
        <v>0</v>
      </c>
      <c r="D34" s="66">
        <f>IF('Stellen Betreutes Wohnen'!D5=Berechnungsgrundlagen!$I$22,Berechnungen!D31,IF('Stellen Betreutes Wohnen'!D5=Berechnungsgrundlagen!$I$23,Berechnungen!D32,IF('Stellen Betreutes Wohnen'!D5=Berechnungsgrundlagen!$I$24,Berechnungen!D33,0)))</f>
        <v>0</v>
      </c>
      <c r="E34" s="66">
        <f>IF('Stellen Betreutes Wohnen'!E5=Berechnungsgrundlagen!$I$22,Berechnungen!E31,IF('Stellen Betreutes Wohnen'!E5=Berechnungsgrundlagen!$I$23,Berechnungen!E32,IF('Stellen Betreutes Wohnen'!E5=Berechnungsgrundlagen!$I$24,Berechnungen!E33,0)))</f>
        <v>0</v>
      </c>
      <c r="F34" s="66">
        <f>IF('Stellen Betreutes Wohnen'!F5=Berechnungsgrundlagen!$I$22,Berechnungen!F31,IF('Stellen Betreutes Wohnen'!F5=Berechnungsgrundlagen!$I$23,Berechnungen!F32,IF('Stellen Betreutes Wohnen'!F5=Berechnungsgrundlagen!$I$24,Berechnungen!F33,0)))</f>
        <v>0</v>
      </c>
      <c r="G34" s="17"/>
      <c r="H34" s="17"/>
      <c r="I34" s="17"/>
    </row>
    <row r="35" spans="1:10" ht="15.75" thickBot="1" x14ac:dyDescent="0.3">
      <c r="A35" s="26" t="s">
        <v>50</v>
      </c>
      <c r="B35" s="25"/>
      <c r="C35" s="25"/>
      <c r="D35" s="25"/>
      <c r="E35" s="25"/>
      <c r="F35" s="27"/>
      <c r="G35" s="17"/>
      <c r="H35" s="17"/>
      <c r="I35" s="17"/>
    </row>
    <row r="36" spans="1:10" x14ac:dyDescent="0.25">
      <c r="A36" s="48" t="s">
        <v>62</v>
      </c>
      <c r="B36" s="117">
        <f>B8/365</f>
        <v>0</v>
      </c>
      <c r="C36" s="117">
        <f t="shared" ref="C36:F36" si="4">C8/365</f>
        <v>0</v>
      </c>
      <c r="D36" s="117">
        <f t="shared" si="4"/>
        <v>0</v>
      </c>
      <c r="E36" s="117">
        <f t="shared" si="4"/>
        <v>0</v>
      </c>
      <c r="F36" s="117">
        <f t="shared" si="4"/>
        <v>0</v>
      </c>
      <c r="G36" s="17"/>
      <c r="H36" s="17"/>
      <c r="I36" s="17"/>
    </row>
    <row r="37" spans="1:10" x14ac:dyDescent="0.25">
      <c r="A37" s="48" t="s">
        <v>61</v>
      </c>
      <c r="B37" s="114">
        <f>'Stellen Betreutes Wohnen'!B4</f>
        <v>0</v>
      </c>
      <c r="C37" s="18">
        <f>'Stellen Betreutes Wohnen'!C4</f>
        <v>0</v>
      </c>
      <c r="D37" s="18">
        <f>'Stellen Betreutes Wohnen'!D4</f>
        <v>0</v>
      </c>
      <c r="E37" s="18">
        <f>'Stellen Betreutes Wohnen'!E4</f>
        <v>0</v>
      </c>
      <c r="F37" s="18">
        <f>'Stellen Betreutes Wohnen'!F4</f>
        <v>0</v>
      </c>
      <c r="G37" s="17"/>
      <c r="H37" s="17"/>
      <c r="I37" s="17"/>
    </row>
    <row r="38" spans="1:10" ht="15.75" thickBot="1" x14ac:dyDescent="0.3">
      <c r="A38" s="65" t="s">
        <v>41</v>
      </c>
      <c r="B38" s="119">
        <f>B36*B37</f>
        <v>0</v>
      </c>
      <c r="C38" s="66">
        <f t="shared" ref="C38:F38" si="5">C36*C37</f>
        <v>0</v>
      </c>
      <c r="D38" s="66">
        <f t="shared" si="5"/>
        <v>0</v>
      </c>
      <c r="E38" s="66">
        <f t="shared" si="5"/>
        <v>0</v>
      </c>
      <c r="F38" s="66">
        <f t="shared" si="5"/>
        <v>0</v>
      </c>
      <c r="G38" s="17"/>
      <c r="H38" s="17"/>
      <c r="I38" s="17"/>
    </row>
    <row r="39" spans="1:10" ht="15.75" thickBot="1" x14ac:dyDescent="0.3">
      <c r="A39" s="26" t="s">
        <v>40</v>
      </c>
      <c r="B39" s="25"/>
      <c r="C39" s="25"/>
      <c r="D39" s="25"/>
      <c r="E39" s="25"/>
      <c r="F39" s="27"/>
      <c r="G39" s="17"/>
      <c r="H39" s="17"/>
      <c r="I39" s="17"/>
    </row>
    <row r="40" spans="1:10" ht="15.75" thickBot="1" x14ac:dyDescent="0.3">
      <c r="A40" s="48"/>
      <c r="B40" s="48">
        <f>B9+B13+B17+B21+B34+B25</f>
        <v>0</v>
      </c>
      <c r="C40" s="48">
        <f t="shared" ref="C40:F40" si="6">C9+C13+C17+C21+C34+C25</f>
        <v>0</v>
      </c>
      <c r="D40" s="48">
        <f t="shared" si="6"/>
        <v>0</v>
      </c>
      <c r="E40" s="48">
        <f t="shared" si="6"/>
        <v>0</v>
      </c>
      <c r="F40" s="53">
        <f t="shared" si="6"/>
        <v>0</v>
      </c>
      <c r="G40" s="17"/>
      <c r="H40" s="17"/>
      <c r="I40" s="17"/>
    </row>
    <row r="41" spans="1:10" ht="15.75" thickBot="1" x14ac:dyDescent="0.3">
      <c r="A41" s="112" t="s">
        <v>63</v>
      </c>
      <c r="B41" s="25"/>
      <c r="C41" s="25"/>
      <c r="D41" s="25"/>
      <c r="E41" s="25"/>
      <c r="F41" s="27"/>
      <c r="G41" s="17"/>
      <c r="H41" s="17"/>
      <c r="I41" s="17"/>
    </row>
    <row r="42" spans="1:10" ht="15.75" thickBot="1" x14ac:dyDescent="0.3">
      <c r="A42" s="49"/>
      <c r="B42" s="110">
        <f>B9+B29+B34</f>
        <v>0</v>
      </c>
      <c r="C42" s="110">
        <f t="shared" ref="C42:F42" si="7">C9+C29+C34</f>
        <v>0</v>
      </c>
      <c r="D42" s="110">
        <f t="shared" si="7"/>
        <v>0</v>
      </c>
      <c r="E42" s="110">
        <f t="shared" si="7"/>
        <v>0</v>
      </c>
      <c r="F42" s="110">
        <f t="shared" si="7"/>
        <v>0</v>
      </c>
      <c r="G42" s="17"/>
      <c r="H42" s="17"/>
      <c r="I42" s="17"/>
      <c r="J42" s="17"/>
    </row>
  </sheetData>
  <pageMargins left="0.7" right="0.7" top="0.78740157499999996" bottom="0.78740157499999996" header="0.3" footer="0.3"/>
  <pageSetup paperSize="9"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d="http://www.w3.org/2001/XMLSchema" xmlns:xsi="http://www.w3.org/2001/XMLSchema-instance" xmlns="http://schema.oneoffixx.com/OneOffixxDocumentPart/1" id="5f76e60a-96ef-4c37-ac88-fe2e2990fac9" tId="4bb24f29-d22c-4b62-9170-e15b638d0f49" internalTId="eddcd222-3556-4198-9714-d433bdcb9f28" mtId="e31ca353-2ab1-4408-921b-a70ae2f57ad1" revision="0" createdmajorversion="0" createdminorversion="0" created="2020-01-17T08:07:12.5180923Z" modifiedmajorversion="0" modifiedminorversion="0" modified="0001-01-01T00:00:00" profile="8c70a580-1134-42a0-8e1d-23ac40ea35c7" mode="NewDocument" colormode="Color" lcid="2055">
  <Content>
    <DataModel xmlns="">
      <Profile windowwidth="0" windowheight="0" minwindowwidth="0" maxwindowwidth="0" minwindowheight="0" maxwindowheight="0">
        <Text id="Profile.Id" row="0" column="0" columnspan="0" multiline="False" multilinerows="0" locked="False" label="Profile.Id" readonly="False" visible="True" required="False" regex="" validationmessage="" tooltip="" tracked="False"><![CDATA[8c70a580-1134-42a0-8e1d-23ac40ea35c7]]></Text>
        <Text id="Profile.OrganizationUnitId" row="0" column="0" columnspan="0" multiline="False" multilinerows="0" locked="False" label="Profile.OrganizationUnitId" readonly="False" visible="True" required="False" regex="" validationmessage="" tooltip="" tracked="False"><![CDATA[5f984b26-4ce2-46fd-84aa-1f7db548afe8]]></Text>
        <Text id="Profile.Org.Postal.Country" row="0" column="0" columnspan="0" multiline="False" multilinerows="0" locked="False" label="Profile.Org.Postal.Country" readonly="False" visible="True" required="False" regex="" validationmessage="" tooltip="" tracked="False"><![CDATA[Schweiz]]></Text>
        <Text id="Profile.Org.Postal.LZip" row="0" column="0" columnspan="0" multiline="False" multilinerows="0" locked="False" label="Profile.Org.Postal.LZip" readonly="False" visible="True" required="False" regex="" validationmessage="" tooltip="" tracked="False"><![CDATA[CH]]></Text>
        <Text id="Profile.Org.Title" row="0" column="0" columnspan="0" multiline="False" multilinerows="0" locked="False" label="Profile.Org.Title" readonly="False" visible="True" required="False" regex="" validationmessage="" tooltip="" tracked="False"><![CDATA[Kanton Zürich]]></Text>
        <Text id="Profile.User.Alias" row="0" column="0" columnspan="0" multiline="False" multilinerows="0" locked="False" label="Profile.User.Alias" readonly="False" visible="True" required="False" regex="" validationmessage="" tooltip="" tracked="False"><![CDATA[pmj]]></Text>
        <Text id="Profile.User.Email" row="0" column="0" columnspan="0" multiline="False" multilinerows="0" locked="False" label="Profile.User.Email" readonly="False" visible="True" required="False" regex="" validationmessage="" tooltip="" tracked="False"><![CDATA[michael.just@ajb.zh.ch]]></Text>
        <Text id="Profile.User.Fax" row="0" column="0" columnspan="0" multiline="False" multilinerows="0" locked="False" label="Profile.User.Fax" readonly="False" visible="True" required="False" regex="" validationmessage="" tooltip="" tracked="False"><![CDATA[ ]]></Text>
        <Text id="Profile.User.FirstName" row="0" column="0" columnspan="0" multiline="False" multilinerows="0" locked="False" label="Profile.User.FirstName" readonly="False" visible="True" required="False" regex="" validationmessage="" tooltip="" tracked="False"><![CDATA[Michael]]></Text>
        <Text id="Profile.User.Function" row="0" column="0" columnspan="0" multiline="False" multilinerows="0" locked="False" label="Profile.User.Function" readonly="False" visible="True" required="False" regex="" validationmessage="" tooltip="" tracked="False"><![CDATA[Kinder- und Jugendheime]]></Text>
        <Text id="Profile.User.LastName" row="0" column="0" columnspan="0" multiline="False" multilinerows="0" locked="False" label="Profile.User.LastName" readonly="False" visible="True" required="False" regex="" validationmessage="" tooltip="" tracked="False"><![CDATA[Just]]></Text>
        <Text id="Profile.User.Mobile" row="0" column="0" columnspan="0" multiline="False" multilinerows="0" locked="False" label="Profile.User.Mobile" readonly="False" visible="True" required="False" regex="" validationmessage="" tooltip="" tracked="False"><![CDATA[ ]]></Text>
        <Text id="Profile.User.OuLev1" row="0" column="0" columnspan="0" multiline="False" multilinerows="0" locked="False" label="Profile.User.OuLev1" readonly="False" visible="True" required="False" regex="" validationmessage="" tooltip="" tracked="False"><![CDATA[Kanton Zürich]]></Text>
        <Text id="Profile.User.OuLev2" row="0" column="0" columnspan="0" multiline="False" multilinerows="0" locked="False" label="Profile.User.OuLev2" readonly="False" visible="True" required="False" regex="" validationmessage="" tooltip="" tracked="False"><![CDATA[Bildungsdirektion]]></Text>
        <Text id="Profile.User.OuLev3" row="0" column="0" columnspan="0" multiline="False" multilinerows="0" locked="False" label="Profile.User.OuLev3" readonly="False" visible="True" required="False" regex="" validationmessage="" tooltip="" tracked="False"><![CDATA[Amt für Jugend und Berufsberatung]]></Text>
        <Text id="Profile.User.OuLev4" row="0" column="0" columnspan="0" multiline="False" multilinerows="0" locked="False" label="Profile.User.OuLev4" readonly="False" visible="True" required="False" regex="" validationmessage="" tooltip="" tracked="False"><![CDATA[Trägerschaften]]></Text>
        <Text id="Profile.User.OuMail" row="0" column="0" columnspan="0" multiline="False" multilinerows="0" locked="False" label="Profile.User.OuMail" readonly="False" visible="True" required="False" regex="" validationmessage="" tooltip="" tracked="False"><![CDATA[zkjh@ajb.zh.ch]]></Text>
        <Text id="Profile.User.OuPhone" row="0" column="0" columnspan="0" multiline="False" multilinerows="0" locked="False" label="Profile.User.OuPhone" readonly="False" visible="True" required="False" regex="" validationmessage="" tooltip="" tracked="False"><![CDATA[043 259 96 99]]></Text>
        <Text id="Profile.User.Phone" row="0" column="0" columnspan="0" multiline="False" multilinerows="0" locked="False" label="Profile.User.Phone" readonly="False" visible="True" required="False" regex="" validationmessage="" tooltip="" tracked="False"><![CDATA[0432599778]]></Text>
        <Text id="Profile.User.Postal.City" row="0" column="0" columnspan="0" multiline="False" multilinerows="0" locked="False" label="Profile.User.Postal.City" readonly="False" visible="True" required="False" regex="" validationmessage="" tooltip="" tracked="False"><![CDATA[Zürich]]></Text>
        <Text id="Profile.User.Postal.POBox" row="0" column="0" columnspan="0" multiline="False" multilinerows="0" locked="False" label="Profile.User.Postal.POBox" readonly="False" visible="True" required="False" regex="" validationmessage="" tooltip="" tracked="False"><![CDATA[Postfach]]></Text>
        <Text id="Profile.User.Postal.Street" row="0" column="0" columnspan="0" multiline="False" multilinerows="0" locked="False" label="Profile.User.Postal.Street" readonly="False" visible="True" required="False" regex="" validationmessage="" tooltip="" tracked="False"><![CDATA[Dörflistrasse 120]]></Text>
        <Text id="Profile.User.Postal.Zip" row="0" column="0" columnspan="0" multiline="False" multilinerows="0" locked="False" label="Profile.User.Postal.Zip" readonly="False" visible="True" required="False" regex="" validationmessage="" tooltip="" tracked="False"><![CDATA[8090]]></Text>
        <Text id="Profile.User.PresenceTime" row="0" column="0" columnspan="0" multiline="False" multilinerows="0" locked="False" label="Profile.User.PresenceTime" readonly="False" visible="True" required="False" regex="" validationmessage="" tooltip="" tracked="False"><![CDATA[Mo, Di, Do, Fr]]></Text>
        <Text id="Profile.User.Title" row="0" column="0" columnspan="0" multiline="False" multilinerows="0" locked="False" label="Profile.User.Title" readonly="False" visible="True" required="False" regex="" validationmessage="" tooltip="" tracked="False"><![CDATA[lic. phil.]]></Text>
        <Text id="Profile.User.Url" row="0" column="0" columnspan="0" multiline="False" multilinerows="0" locked="False" label="Profile.User.Url" readonly="False" visible="True" required="False" regex="" validationmessage="" tooltip="" tracked="False"><![CDATA[www.ajb.zh.ch]]></Text>
      </Profile>
      <Author windowwidth="0" windowheight="0" minwindowwidth="0" maxwindowwidth="0" minwindowheight="0" maxwindowheight="0">
        <Text id="Author.User.Alias" row="0" column="0" columnspan="0" multiline="False" multilinerows="0" locked="False" label="Author.User.Alias" readonly="False" visible="True" required="False" regex="" validationmessage="" tooltip="" tracked="False"><![CDATA[pmj]]></Text>
        <Text id="Author.User.Email" row="0" column="0" columnspan="0" multiline="False" multilinerows="0" locked="False" label="Author.User.Email" readonly="False" visible="True" required="False" regex="" validationmessage="" tooltip="" tracked="False"><![CDATA[michael.just@ajb.zh.ch]]></Text>
        <Text id="Author.User.Fax" row="0" column="0" columnspan="0" multiline="False" multilinerows="0" locked="False" label="Author.User.Fax" readonly="False" visible="True" required="False" regex="" validationmessage="" tooltip="" tracked="False"><![CDATA[ ]]></Text>
        <Text id="Author.User.FirstName" row="0" column="0" columnspan="0" multiline="False" multilinerows="0" locked="False" label="Author.User.FirstName" readonly="False" visible="True" required="False" regex="" validationmessage="" tooltip="" tracked="False"><![CDATA[Michael]]></Text>
        <Text id="Author.User.Function" row="0" column="0" columnspan="0" multiline="False" multilinerows="0" locked="False" label="Author.User.Function" readonly="False" visible="True" required="False" regex="" validationmessage="" tooltip="" tracked="False"><![CDATA[Kinder- und Jugendheime]]></Text>
        <Text id="Author.User.LastName" row="0" column="0" columnspan="0" multiline="False" multilinerows="0" locked="False" label="Author.User.LastName" readonly="False" visible="True" required="False" regex="" validationmessage="" tooltip="" tracked="False"><![CDATA[Just]]></Text>
        <Text id="Author.User.Mobile" row="0" column="0" columnspan="0" multiline="False" multilinerows="0" locked="False" label="Author.User.Mobile" readonly="False" visible="True" required="False" regex="" validationmessage="" tooltip="" tracked="False"><![CDATA[ ]]></Text>
        <Text id="Author.User.OuLev1" row="0" column="0" columnspan="0" multiline="False" multilinerows="0" locked="False" label="Author.User.OuLev1" readonly="False" visible="True" required="False" regex="" validationmessage="" tooltip="" tracked="False"><![CDATA[Kanton Zürich]]></Text>
        <Text id="Author.User.OuLev2" row="0" column="0" columnspan="0" multiline="False" multilinerows="0" locked="False" label="Author.User.OuLev2" readonly="False" visible="True" required="False" regex="" validationmessage="" tooltip="" tracked="False"><![CDATA[Bildungsdirektion]]></Text>
        <Text id="Author.User.OuLev3" row="0" column="0" columnspan="0" multiline="False" multilinerows="0" locked="False" label="Author.User.OuLev3" readonly="False" visible="True" required="False" regex="" validationmessage="" tooltip="" tracked="False"><![CDATA[Amt für Jugend und Berufsberatung]]></Text>
        <Text id="Author.User.OuLev4" row="0" column="0" columnspan="0" multiline="False" multilinerows="0" locked="False" label="Author.User.OuLev4" readonly="False" visible="True" required="False" regex="" validationmessage="" tooltip="" tracked="False"><![CDATA[Trägerschaften]]></Text>
        <Text id="Author.User.OuMail" row="0" column="0" columnspan="0" multiline="False" multilinerows="0" locked="False" label="Author.User.OuMail" readonly="False" visible="True" required="False" regex="" validationmessage="" tooltip="" tracked="False"><![CDATA[zkjh@ajb.zh.ch]]></Text>
        <Text id="Author.User.OuPhone" row="0" column="0" columnspan="0" multiline="False" multilinerows="0" locked="False" label="Author.User.OuPhone" readonly="False" visible="True" required="False" regex="" validationmessage="" tooltip="" tracked="False"><![CDATA[043 259 96 99]]></Text>
        <Text id="Author.User.Phone" row="0" column="0" columnspan="0" multiline="False" multilinerows="0" locked="False" label="Author.User.Phone" readonly="False" visible="True" required="False" regex="" validationmessage="" tooltip="" tracked="False"><![CDATA[0432599778]]></Text>
        <Text id="Author.User.Postal.City" row="0" column="0" columnspan="0" multiline="False" multilinerows="0" locked="False" label="Author.User.Postal.City" readonly="False" visible="True" required="False" regex="" validationmessage="" tooltip="" tracked="False"><![CDATA[Zürich]]></Text>
        <Text id="Author.User.Postal.POBox" row="0" column="0" columnspan="0" multiline="False" multilinerows="0" locked="False" label="Author.User.Postal.POBox" readonly="False" visible="True" required="False" regex="" validationmessage="" tooltip="" tracked="False"><![CDATA[Postfach]]></Text>
        <Text id="Author.User.Postal.Street" row="0" column="0" columnspan="0" multiline="False" multilinerows="0" locked="False" label="Author.User.Postal.Street" readonly="False" visible="True" required="False" regex="" validationmessage="" tooltip="" tracked="False"><![CDATA[Dörflistrasse 120]]></Text>
        <Text id="Author.User.Postal.Zip" row="0" column="0" columnspan="0" multiline="False" multilinerows="0" locked="False" label="Author.User.Postal.Zip" readonly="False" visible="True" required="False" regex="" validationmessage="" tooltip="" tracked="False"><![CDATA[8090]]></Text>
        <Text id="Author.User.PresenceTime" row="0" column="0" columnspan="0" multiline="False" multilinerows="0" locked="False" label="Author.User.PresenceTime" readonly="False" visible="True" required="False" regex="" validationmessage="" tooltip="" tracked="False"><![CDATA[Mo, Di, Do, Fr]]></Text>
        <Text id="Author.User.Title" row="0" column="0" columnspan="0" multiline="False" multilinerows="0" locked="False" label="Author.User.Title" readonly="False" visible="True" required="False" regex="" validationmessage="" tooltip="" tracked="False"><![CDATA[lic. phil.]]></Text>
        <Text id="Author.User.Url" row="0" column="0" columnspan="0" multiline="False" multilinerows="0" locked="False" label="Author.User.Url" readonly="False" visible="True" required="False" regex="" validationmessage="" tooltip="" tracked="False"><![CDATA[www.ajb.zh.ch]]></Text>
      </Author>
      <Parameter windowwidth="750" windowheight="380" minwindowwidth="0" maxwindowwidth="0" minwindowheight="0" maxwindowheight="0">
        <Text id="Special.CheckboxGroupViewList" row="0" column="0" columnspan="0" multiline="False" multilinerows="3" locked="False" label="Special.CheckboxGroupViewList" readonly="False" visible="False" required="False" regex="" validationmessage="" tooltip="" tracked="False"><![CDATA[ ]]></Text>
        <Text id="Special.CheckboxGroupViewBox" row="0" column="0" columnspan="0" multiline="False" multilinerows="3" locked="False" label="Special.CheckboxGroupViewBox" readonly="False" visible="False" required="False" regex="" validationmessage="" tooltip="" tracked="False"><![CDATA[ ]]></Text>
        <Text id="Special.CheckboxGroupViewText" row="0" column="0" columnspan="0" multiline="False" multilinerows="3" locked="False" label="Special.CheckboxGroupViewText" readonly="False" visible="False" required="False" regex="" validationmessage="" tooltip="" tracked="False"><![CDATA[ ]]></Text>
        <Text id="Special.CheckboxGroupViewBoxAndText" row="0" column="0" columnspan="0" multiline="False" multilinerows="3" locked="False" label="Special.CheckboxGroupViewBoxAndText" readonly="False" visible="False" required="False" regex="" validationmessage="" tooltip="" tracked="False"><![CDATA[ ]]></Text>
        <Text id="DocParam.Subject" row="0" column="0" columnspan="0" multiline="False" multilinerows="0" locked="False" label="" readonly="False" visible="True" required="False" regex="" validationmessage="" tooltip="" tracked="False"><![CDATA[Stellenplanberechnung]]></Text>
        <DateTime id="DocParam.Date" lid="Deutsch (Schweiz)" format="dd.MM.yyyy" calendar="Gregor" row="0" column="0" columnspan="0" locked="False" label="" readonly="False" visible="True" tooltip="" tracked="False">2020-01-17T00:00:00Z</DateTime>
        <CheckBox id="DocParam.KontaktAnzeigen" row="0" column="0" columnspan="0" isinputenabled="False" locked="False" label="" readonly="False" visible="True" tooltip="" tracked="False">false</CheckBox>
        <CheckBox id="DocParam.ChbAmtAbteilungAnzeigen" row="0" column="0" columnspan="0" isinputenabled="False" locked="False" label="" readonly="False" visible="True" tooltip="" tracked="False">true</CheckBox>
      </Parameter>
      <Scripting windowwidth="0" windowheight="0" minwindowwidth="0" maxwindowwidth="0" minwindowheight="0" maxwindowheight="0">
        <Text id="CustomElements.Excel.Header.Script1" row="0" column="0" columnspan="0" multiline="False" multilinerows="0" locked="False" label="CustomElements.Excel.Header.Script1" readonly="False" visible="True" required="False" regex="" validationmessage="" tooltip="" tracked="False"><![CDATA[Amt für Jugend und Berufsberatung]]></Text>
        <Text id="CustomElements.Excel.Header.Script2" row="0" column="0" columnspan="0" multiline="False" multilinerows="0" locked="False" label="CustomElements.Excel.Header.Script2" readonly="False" visible="True" required="False" regex="" validationmessage="" tooltip="" tracked="False"><![CDATA[Trägerschaften]]></Text>
        <Text id="CustomElements.DocParam.Date" row="0" column="0" columnspan="0" multiline="False" multilinerows="0" locked="False" label="CustomElements.DocParam.Date" readonly="False" visible="True" required="False" regex="" validationmessage="" tooltip="" tracked="False"><![CDATA[17.01.2020]]></Text>
      </Scripting>
    </DataModel>
  </Content>
  <TemplateTree CreationMode="Published" PipelineVersion="V2">
    <Template tId="4bb24f29-d22c-4b62-9170-e15b638d0f49" internalTId="eddcd222-3556-4198-9714-d433bdcb9f28"/>
  </TemplateTree>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Erläuterungen</vt:lpstr>
      <vt:lpstr>Stellen Betreutes Wohnen</vt:lpstr>
      <vt:lpstr>Stellen Begleitetes Wohnen</vt:lpstr>
      <vt:lpstr>Stellen Agogik</vt:lpstr>
      <vt:lpstr>Berechnungsgrundlagen</vt:lpstr>
      <vt:lpstr>Berechnungen</vt:lpstr>
      <vt:lpstr>Leistung</vt:lpstr>
      <vt:lpstr>Erläuterungen!Leistung_1</vt:lpstr>
      <vt:lpstr>'Stellen Agogik'!Leistung_1</vt:lpstr>
      <vt:lpstr>'Stellen Begleitetes Wohnen'!Leistung_1</vt:lpstr>
      <vt:lpstr>Leistung_1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 Michael</dc:creator>
  <cp:lastModifiedBy>Just Michael</cp:lastModifiedBy>
  <cp:lastPrinted>2020-02-17T12:10:09Z</cp:lastPrinted>
  <dcterms:created xsi:type="dcterms:W3CDTF">2011-10-21T13:07:01Z</dcterms:created>
  <dcterms:modified xsi:type="dcterms:W3CDTF">2023-07-11T09:20:58Z</dcterms:modified>
</cp:coreProperties>
</file>