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mtsleitung\Finanzen\10_Stabe_7201_Soschu_SKS\03 Budgetprozess\Hilfsmittel_Pensenberechnung\"/>
    </mc:Choice>
  </mc:AlternateContent>
  <xr:revisionPtr revIDLastSave="0" documentId="13_ncr:1_{49FCB2A5-CF20-435F-A819-4950247D1A4C}" xr6:coauthVersionLast="36" xr6:coauthVersionMax="36" xr10:uidLastSave="{00000000-0000-0000-0000-000000000000}"/>
  <bookViews>
    <workbookView xWindow="9555" yWindow="-15" windowWidth="9600" windowHeight="11805" tabRatio="762" xr2:uid="{00000000-000D-0000-FFFF-FFFF00000000}"/>
  </bookViews>
  <sheets>
    <sheet name="Stellenberechnung" sheetId="6" r:id="rId1"/>
    <sheet name="Grundlagen" sheetId="8" r:id="rId2"/>
    <sheet name="Institutionen" sheetId="7" state="hidden" r:id="rId3"/>
  </sheets>
  <externalReferences>
    <externalReference r:id="rId4"/>
  </externalReferences>
  <definedNames>
    <definedName name="_xlnm._FilterDatabase" localSheetId="2" hidden="1">Institutionen!$A$1:$D$71</definedName>
    <definedName name="Adr_Verz">[1]Adr!$A$1:$P$24</definedName>
    <definedName name="Anrechenbare_Tage">[1]Tg!$A$3:$M$43</definedName>
    <definedName name="Eckdaten">Grundlagen!$A$8:$G$10</definedName>
    <definedName name="FS">[1]FS!$A$3:$K$66</definedName>
    <definedName name="Institutionen">Institutionen!$A$2:$D$53</definedName>
    <definedName name="Mittagessen">Grundlagen!$A$16:$B$18</definedName>
    <definedName name="Ökonomie">Grundlagen!$A$16:$B$18</definedName>
    <definedName name="ZH_Nr">Institutionen!$A$2:$A$53</definedName>
  </definedNames>
  <calcPr calcId="191029"/>
</workbook>
</file>

<file path=xl/calcChain.xml><?xml version="1.0" encoding="utf-8"?>
<calcChain xmlns="http://schemas.openxmlformats.org/spreadsheetml/2006/main">
  <c r="C41" i="6" l="1"/>
  <c r="H57" i="6" l="1"/>
  <c r="H53" i="6"/>
  <c r="H44" i="6"/>
  <c r="H3" i="6"/>
  <c r="E15" i="6" s="1"/>
  <c r="E7" i="6"/>
  <c r="H47" i="6"/>
  <c r="H46" i="6"/>
  <c r="H52" i="6"/>
  <c r="H59" i="6"/>
  <c r="K15" i="6"/>
  <c r="J15" i="6"/>
  <c r="H48" i="6" s="1"/>
  <c r="H64" i="6"/>
  <c r="H60" i="6"/>
  <c r="E16" i="6" l="1"/>
  <c r="H43" i="6" s="1"/>
  <c r="E17" i="6"/>
  <c r="E12" i="6"/>
  <c r="E11" i="6"/>
  <c r="E14" i="6"/>
  <c r="E13" i="6"/>
  <c r="I32" i="6" l="1"/>
  <c r="I31" i="6"/>
  <c r="H54" i="6" s="1"/>
  <c r="H55" i="6" s="1"/>
  <c r="K31" i="6"/>
  <c r="K32" i="6"/>
  <c r="J64" i="6"/>
  <c r="J57" i="6"/>
  <c r="H45" i="6"/>
  <c r="J59" i="6"/>
  <c r="J52" i="6"/>
  <c r="K57" i="6" l="1"/>
  <c r="J66" i="6"/>
  <c r="K52" i="6"/>
  <c r="K64" i="6"/>
  <c r="H61" i="6"/>
  <c r="I40" i="6"/>
  <c r="H62" i="6" l="1"/>
  <c r="J65" i="6"/>
  <c r="H66" i="6" l="1"/>
  <c r="K59" i="6"/>
  <c r="I64" i="6" l="1"/>
  <c r="I61" i="6"/>
  <c r="I53" i="6"/>
  <c r="I59" i="6"/>
  <c r="I52" i="6"/>
  <c r="I60" i="6"/>
  <c r="H65" i="6"/>
  <c r="H67" i="6" s="1"/>
  <c r="I54" i="6"/>
  <c r="I57" i="6"/>
  <c r="K6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Blatter Burger Marlyse</author>
  </authors>
  <commentList>
    <comment ref="H43" authorId="0" shapeId="0" xr:uid="{00000000-0006-0000-0000-000001000000}">
      <text>
        <r>
          <rPr>
            <sz val="9"/>
            <color indexed="81"/>
            <rFont val="Segoe UI"/>
            <family val="2"/>
          </rPr>
          <t>Anzahl Plätze gem. Rahmenkonzept/theoretische Klassengrösse</t>
        </r>
      </text>
    </comment>
    <comment ref="H44" authorId="0" shapeId="0" xr:uid="{00000000-0006-0000-0000-000002000000}">
      <text>
        <r>
          <rPr>
            <sz val="9"/>
            <color indexed="81"/>
            <rFont val="Segoe UI"/>
            <family val="2"/>
          </rPr>
          <t>Prognostizierte besetzte Plätze/ Anzahl effektiver Klassen</t>
        </r>
      </text>
    </comment>
    <comment ref="H45" authorId="0" shapeId="0" xr:uid="{00000000-0006-0000-0000-000003000000}">
      <text>
        <r>
          <rPr>
            <sz val="9"/>
            <color indexed="81"/>
            <rFont val="Segoe UI"/>
            <family val="2"/>
          </rPr>
          <t>Prognostizierte besetzte Plätze/Anzahl theoretische Klassen</t>
        </r>
      </text>
    </comment>
    <comment ref="H46" authorId="0" shapeId="0" xr:uid="{00000000-0006-0000-0000-000004000000}">
      <text>
        <r>
          <rPr>
            <sz val="9"/>
            <color indexed="81"/>
            <rFont val="Segoe UI"/>
            <family val="2"/>
          </rPr>
          <t>Prognostizierte Wochenlektionen/Standard-Wochenlektionen</t>
        </r>
      </text>
    </comment>
    <comment ref="H47" authorId="0" shapeId="0" xr:uid="{00000000-0006-0000-0000-000005000000}">
      <text>
        <r>
          <rPr>
            <sz val="9"/>
            <color indexed="81"/>
            <rFont val="Segoe UI"/>
            <family val="2"/>
          </rPr>
          <t>Total Betreuungsangebot in Stunden für alle Klassen/Anzahl Klassen/Standardöffnungszeit</t>
        </r>
      </text>
    </comment>
  </commentList>
</comments>
</file>

<file path=xl/sharedStrings.xml><?xml version="1.0" encoding="utf-8"?>
<sst xmlns="http://schemas.openxmlformats.org/spreadsheetml/2006/main" count="450" uniqueCount="291">
  <si>
    <t>Schulleitung</t>
  </si>
  <si>
    <t>Total</t>
  </si>
  <si>
    <t>Standard-Öffnungszeiten (h)</t>
  </si>
  <si>
    <r>
      <t xml:space="preserve">Tagessonderschule </t>
    </r>
    <r>
      <rPr>
        <sz val="7"/>
        <rFont val="Arial"/>
        <family val="2"/>
      </rPr>
      <t>(inkl. Mittagsbetr.)</t>
    </r>
  </si>
  <si>
    <r>
      <t xml:space="preserve">Tagessonderschule </t>
    </r>
    <r>
      <rPr>
        <sz val="7"/>
        <rFont val="Arial"/>
        <family val="2"/>
      </rPr>
      <t>(exkl. Mittagsbetr.)</t>
    </r>
  </si>
  <si>
    <t xml:space="preserve">Anzahl Schüler </t>
  </si>
  <si>
    <t>Verwaltung/Sekretariat</t>
  </si>
  <si>
    <t>Standard-Wochenlektionen (h)</t>
  </si>
  <si>
    <t xml:space="preserve">Kategorie </t>
  </si>
  <si>
    <t>A</t>
  </si>
  <si>
    <r>
      <t>Integr. Sonderschulung</t>
    </r>
    <r>
      <rPr>
        <sz val="7"/>
        <rFont val="Arial"/>
        <family val="2"/>
      </rPr>
      <t xml:space="preserve"> (exkl. Mittagsbetr.)</t>
    </r>
  </si>
  <si>
    <r>
      <t xml:space="preserve">Integr. Sonderschulung </t>
    </r>
    <r>
      <rPr>
        <sz val="7"/>
        <rFont val="Arial"/>
        <family val="2"/>
      </rPr>
      <t>(inkl. Mittagsbetreuung)</t>
    </r>
  </si>
  <si>
    <t>Unterrichts-angebot: Lkt/Wo</t>
  </si>
  <si>
    <t>Name der Einrichtung</t>
  </si>
  <si>
    <t>Auslastung</t>
  </si>
  <si>
    <t>Schüler-/Innen / Klasse</t>
  </si>
  <si>
    <t>Betreuungs-angebot: Std./Woche</t>
  </si>
  <si>
    <t>Fachlehrerstellen</t>
  </si>
  <si>
    <t>Lehrerstellen für Einzelunterricht</t>
  </si>
  <si>
    <t>Vorpraktikum</t>
  </si>
  <si>
    <r>
      <t>Therapie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(gem. VSM + Rahmenkonzept)</t>
    </r>
  </si>
  <si>
    <r>
      <t xml:space="preserve">Pädagogische MA </t>
    </r>
    <r>
      <rPr>
        <sz val="8"/>
        <rFont val="Arial"/>
        <family val="2"/>
      </rPr>
      <t>(mit Fachausbildung)</t>
    </r>
  </si>
  <si>
    <r>
      <t xml:space="preserve">Pädagogische MA </t>
    </r>
    <r>
      <rPr>
        <sz val="8"/>
        <rFont val="Arial"/>
        <family val="2"/>
      </rPr>
      <t>(ohne Fachausbildung)</t>
    </r>
  </si>
  <si>
    <r>
      <t xml:space="preserve">Externe Therapien </t>
    </r>
    <r>
      <rPr>
        <sz val="8"/>
        <rFont val="Arial"/>
        <family val="2"/>
      </rPr>
      <t>(gem. VSM)</t>
    </r>
  </si>
  <si>
    <t>Verwaltung und Schulleitung</t>
  </si>
  <si>
    <t>Soll-Auslastung</t>
  </si>
  <si>
    <t>% Anteil Schule &amp; Betreuung</t>
  </si>
  <si>
    <r>
      <t xml:space="preserve">Praktikumstellen </t>
    </r>
    <r>
      <rPr>
        <sz val="8"/>
        <rFont val="Arial"/>
        <family val="2"/>
      </rPr>
      <t>(in Ausbildung)</t>
    </r>
  </si>
  <si>
    <t>Integrierte Sonderschulung</t>
  </si>
  <si>
    <t>Lehrerstellen für Klassen</t>
  </si>
  <si>
    <r>
      <t>ext.Th.</t>
    </r>
    <r>
      <rPr>
        <b/>
        <sz val="8"/>
        <rFont val="Arial"/>
        <family val="2"/>
      </rPr>
      <t xml:space="preserve"> in h</t>
    </r>
  </si>
  <si>
    <t>Theoretische Klassengrösse</t>
  </si>
  <si>
    <t>Sonderschulung</t>
  </si>
  <si>
    <t>Bemerkungen</t>
  </si>
  <si>
    <r>
      <t xml:space="preserve">Weitere Stellen </t>
    </r>
    <r>
      <rPr>
        <sz val="8"/>
        <rFont val="Arial"/>
        <family val="2"/>
      </rPr>
      <t>(nicht beitragsberechtigt)</t>
    </r>
  </si>
  <si>
    <t>Klasse</t>
  </si>
  <si>
    <t>Kl. 1</t>
  </si>
  <si>
    <t>Kl. 2</t>
  </si>
  <si>
    <t>Kl. 3</t>
  </si>
  <si>
    <t>Kl. 4</t>
  </si>
  <si>
    <t>Kl. 5</t>
  </si>
  <si>
    <t>Kl. 6</t>
  </si>
  <si>
    <t>Kl. 7</t>
  </si>
  <si>
    <t>Kl. 8</t>
  </si>
  <si>
    <t>Kl. 9</t>
  </si>
  <si>
    <t>Kl. 10</t>
  </si>
  <si>
    <t>Kl. 11</t>
  </si>
  <si>
    <t>Kl. 12</t>
  </si>
  <si>
    <t>Kl. 13</t>
  </si>
  <si>
    <t>Kl. 14</t>
  </si>
  <si>
    <t>Kl. 15</t>
  </si>
  <si>
    <t>Kl. 16</t>
  </si>
  <si>
    <t>Kl. 17</t>
  </si>
  <si>
    <t>Kl. 18</t>
  </si>
  <si>
    <t>Kl. 19</t>
  </si>
  <si>
    <t>Kl. 20</t>
  </si>
  <si>
    <r>
      <t>ext.Th.</t>
    </r>
    <r>
      <rPr>
        <b/>
        <sz val="8"/>
        <rFont val="Arial"/>
        <family val="2"/>
      </rPr>
      <t xml:space="preserve"> 
in h</t>
    </r>
  </si>
  <si>
    <t>Stufe</t>
  </si>
  <si>
    <r>
      <t>Betreuung Sozialpäd. (</t>
    </r>
    <r>
      <rPr>
        <sz val="8"/>
        <rFont val="Arial"/>
        <family val="2"/>
      </rPr>
      <t>mit Ausbildung)</t>
    </r>
  </si>
  <si>
    <t>B</t>
  </si>
  <si>
    <t>C</t>
  </si>
  <si>
    <t>ZH-Nr.</t>
  </si>
  <si>
    <t>Institution</t>
  </si>
  <si>
    <t>Schultyp</t>
  </si>
  <si>
    <t>PP-Typ</t>
  </si>
  <si>
    <t>PTS</t>
  </si>
  <si>
    <t>KTS</t>
  </si>
  <si>
    <t>Etz Chaim Schule</t>
  </si>
  <si>
    <t>Heilpädagogische Schule Affoltern</t>
  </si>
  <si>
    <t>Tagesschule Stiftung Kind &amp; Autismus</t>
  </si>
  <si>
    <t>Heilpädagogische Schule Limmattal</t>
  </si>
  <si>
    <t>Stiftung Schule Tägerst</t>
  </si>
  <si>
    <t>KLEINgruppenschule Wädenswil</t>
  </si>
  <si>
    <t>Gruppenschule Thalwil</t>
  </si>
  <si>
    <t>Heilpädagogische Schule Turbenthal</t>
  </si>
  <si>
    <t>Stiftung Tagesschule Oberglatt</t>
  </si>
  <si>
    <t>Lernwerkstatt Bickwil</t>
  </si>
  <si>
    <t>Heilpädagogische Schule Wetzikon</t>
  </si>
  <si>
    <t>Stiftung Tagesschule Birke</t>
  </si>
  <si>
    <t>Sonderpädagogische Tagesschule Toblerstrasse</t>
  </si>
  <si>
    <t>Tagesschule Fähre</t>
  </si>
  <si>
    <t>Oberstufenschule Lengg</t>
  </si>
  <si>
    <t>PRIMA Sonderschulung</t>
  </si>
  <si>
    <t>Gesamtschule Erlen</t>
  </si>
  <si>
    <t>Johannes-Schule</t>
  </si>
  <si>
    <t>Schule MOMO</t>
  </si>
  <si>
    <t>Schule im Grund</t>
  </si>
  <si>
    <t>Freie Evangelische Schule Zürich</t>
  </si>
  <si>
    <t>Freie Oberstufenschule Zürich</t>
  </si>
  <si>
    <t>Freie Primarschule Zürich</t>
  </si>
  <si>
    <t>Jüdische Schule NOAM</t>
  </si>
  <si>
    <t>Sonderschule PULS+</t>
  </si>
  <si>
    <t>Heilpädagogische Schule Humlikon</t>
  </si>
  <si>
    <t>KGS Dällikon Oberstufe</t>
  </si>
  <si>
    <t>Schule in Kleingruppen Dielsdorf</t>
  </si>
  <si>
    <t>Heilpädagogische Schule Waidhöchi</t>
  </si>
  <si>
    <t>Kleingruppenschule Kleinandelfingen</t>
  </si>
  <si>
    <t>Kleingruppenschule Furttal</t>
  </si>
  <si>
    <t>Heilpädagogische Schule Rümlang</t>
  </si>
  <si>
    <t>Heilpädagogische Schule Uster</t>
  </si>
  <si>
    <t>Schule in Kleingruppen Wallisellen</t>
  </si>
  <si>
    <t>Heilpädagogische Schule Bezirk Bülach</t>
  </si>
  <si>
    <t>KGS Winterthur</t>
  </si>
  <si>
    <t>Michaelschule, Heilpädagogische Sonderschule</t>
  </si>
  <si>
    <r>
      <t xml:space="preserve">Soll-Lekt. / Schüler </t>
    </r>
    <r>
      <rPr>
        <sz val="6"/>
        <rFont val="Arial"/>
        <family val="2"/>
      </rPr>
      <t>(inkl. Mittagsbetr.)</t>
    </r>
  </si>
  <si>
    <r>
      <t xml:space="preserve">Soll-Lekt. /Schüler </t>
    </r>
    <r>
      <rPr>
        <sz val="6"/>
        <rFont val="Arial"/>
        <family val="2"/>
      </rPr>
      <t>(exkl. Mittagsbetr.)</t>
    </r>
  </si>
  <si>
    <t>Soll-Lekt. / Schüler (inkl. Mittagsbetr.)</t>
  </si>
  <si>
    <t>Soll-Lekt. /Schüler (exkl. Mittagsbetr.)</t>
  </si>
  <si>
    <t>Volksschulamt</t>
  </si>
  <si>
    <t>Besondere Förderung</t>
  </si>
  <si>
    <r>
      <t xml:space="preserve">Übrige Therapien </t>
    </r>
    <r>
      <rPr>
        <sz val="8"/>
        <color rgb="FF0070C0"/>
        <rFont val="Arial"/>
        <family val="2"/>
      </rPr>
      <t>(nicht anrechenbar)</t>
    </r>
  </si>
  <si>
    <r>
      <t xml:space="preserve">Externe Therapien </t>
    </r>
    <r>
      <rPr>
        <sz val="8"/>
        <color rgb="FF0070C0"/>
        <rFont val="Arial"/>
        <family val="2"/>
      </rPr>
      <t>(nicht anrechenbar)</t>
    </r>
  </si>
  <si>
    <t>Schule Friedheim Bubikon</t>
  </si>
  <si>
    <t>SH</t>
  </si>
  <si>
    <t xml:space="preserve">Schulheim Elgg                                                        </t>
  </si>
  <si>
    <t xml:space="preserve">Wohnschule Freienstein                                            </t>
  </si>
  <si>
    <t>Albisbrunn, Schul- und Berufsbildungsheim</t>
  </si>
  <si>
    <t>Zürcherische Pestalozzistiftung</t>
  </si>
  <si>
    <t xml:space="preserve">Pädagogisches Zentrum Pestalozzihaus                    </t>
  </si>
  <si>
    <t>Werkschule Grundhof</t>
  </si>
  <si>
    <t>Schule für cerebral gelähmte Kinder, Maurerschule</t>
  </si>
  <si>
    <t>Heilpädagogisches Institut St. Michael</t>
  </si>
  <si>
    <t>Stiftung Vivendra</t>
  </si>
  <si>
    <t>Ilgenhalde</t>
  </si>
  <si>
    <t>Stiftung Schloss Regensberg</t>
  </si>
  <si>
    <t>Stiftung Buechweid</t>
  </si>
  <si>
    <t>Stiftung Bühl</t>
  </si>
  <si>
    <t>meh für Menschen mit Körperbehinderung</t>
  </si>
  <si>
    <t>Tanne, Schweiz. Stiftung für Taubblinde</t>
  </si>
  <si>
    <t>Zentrum für Gehör und Sprache Zürich (ZGSZ)</t>
  </si>
  <si>
    <t>Sonderpäd. TS f. Wahrnehmungsförd'g (STW)</t>
  </si>
  <si>
    <t xml:space="preserve"> A</t>
  </si>
  <si>
    <t>TS für seh- und mehrf.beh. Kinder (Visoparents)</t>
  </si>
  <si>
    <t>Sek3, Oberstufe für Gehörlose und Schwerhörige</t>
  </si>
  <si>
    <t>Rafaelschule, Heilpädagogische Tagesschule</t>
  </si>
  <si>
    <t>Stellen für Ökonomie je RK-Platz</t>
  </si>
  <si>
    <t>Ob Mittagessen durch eigenes Personal zubereitet wird, ist nicht mehr relevant.</t>
  </si>
  <si>
    <r>
      <t xml:space="preserve">Betreuung Sozialpäd. </t>
    </r>
    <r>
      <rPr>
        <sz val="8"/>
        <rFont val="Arial"/>
        <family val="2"/>
      </rPr>
      <t>(ohne/in Ausbildung)</t>
    </r>
  </si>
  <si>
    <t>Stellenberechnung</t>
  </si>
  <si>
    <t xml:space="preserve"> 8.02, 8.03, 8.04, 8.05, 8.06, 8.07 (8.03, 8.05, 8.07 für Klassenlehrpersonen ohne EDK-anerkanntes Diplom in Schulischer Heilpädagogik resp. ohne VSA-Anerkennung sur dossier)</t>
  </si>
  <si>
    <t xml:space="preserve"> 8.02, 8.03, 8.04, 8.05, 8.06, 8.07</t>
  </si>
  <si>
    <t xml:space="preserve"> 8.02, 8.03, 8.04, 8.05, 8.06, 8.07 (z. B. Fremdsprachenunterricht, Werkunterricht)</t>
  </si>
  <si>
    <t xml:space="preserve">Ökonomie </t>
  </si>
  <si>
    <t>Koch / Köchin (Ökonomie)</t>
  </si>
  <si>
    <t>Hauswartung/Reinigung (Ökonomie)</t>
  </si>
  <si>
    <t xml:space="preserve"> 2.11 und  8.15 (Gewichtung 25%)</t>
  </si>
  <si>
    <t xml:space="preserve"> 2.06 , 2.07, 2.10 (Gewichtung 50%)</t>
  </si>
  <si>
    <t xml:space="preserve"> 5.04, 5.10, 5.11, 5.13 und weitere (interne Therapie-Stellen für Logopädie, Psychomotorik, Psychotherapie und Audiopädagogik, weitere Therapie-Stellen gem. Rahmenkonzept)</t>
  </si>
  <si>
    <t>Personal anhand Funktionsnummern  in Stellenprozenten eintragen, externe Therapien in Anzahl Stunden (siehe Informationen im Einreihungsplan 2022)</t>
  </si>
  <si>
    <t>Es werden 0,04 ungewichtete Stellen für Ökonomie je RK-Platz kalkuliert.</t>
  </si>
  <si>
    <t xml:space="preserve"> 8.11 (Sozialpädagoge/in, Sozialarbeiter/in und Soziokult. Animator/in in berufsbegleitender Ausbildung) (Gewichtung 50%)</t>
  </si>
  <si>
    <t xml:space="preserve"> Alle nicht anrechenbaren internen Therapie-Stellen, zum Beispiel medizinisch verordnete Therapien wie Ergotherapie oder Physiotherapie im Einzelfall</t>
  </si>
  <si>
    <t xml:space="preserve"> 5.04, 5.10, 5.11, 5.13 (alle externen Therapie-Stellen für Logopädie, Psychomotorik, Psychotherapie und Audiopädagogik gemäss § 9 der Verordnung über die sonderpädagogischen Massnahmen (VSM))</t>
  </si>
  <si>
    <t>Stellen/Klasse</t>
  </si>
  <si>
    <t>Schulleitung und Verwaltung</t>
  </si>
  <si>
    <t>Grundlagen zur Stellenberechnung der Sonderschulkategorien Typus A, B und C</t>
  </si>
  <si>
    <t>Ökonomie: Mittagessen und Hauswartung/Reinigung</t>
  </si>
  <si>
    <t>ab 6 Klassen</t>
  </si>
  <si>
    <t>ab 13 Klassen</t>
  </si>
  <si>
    <t>zusätzlich</t>
  </si>
  <si>
    <t>Zusatzanspruch pro Schüler</t>
  </si>
  <si>
    <t>Stellen/Schüler</t>
  </si>
  <si>
    <t>Anzahl Klassen gemäss RK</t>
  </si>
  <si>
    <t>effektive Lektionen /Standardlektionen</t>
  </si>
  <si>
    <t>effektive Öffnungszeit/Standardöffnungszeit</t>
  </si>
  <si>
    <t xml:space="preserve">Therapien </t>
  </si>
  <si>
    <t xml:space="preserve">Schule </t>
  </si>
  <si>
    <t xml:space="preserve">Betreuung </t>
  </si>
  <si>
    <t xml:space="preserve">Total </t>
  </si>
  <si>
    <t>theoret. Anzahl Klassen  gem. Prognose</t>
  </si>
  <si>
    <t>Anzahl Schüler pro theoret. Klasse</t>
  </si>
  <si>
    <t xml:space="preserve"> In %</t>
  </si>
  <si>
    <t>Planung
TSS</t>
  </si>
  <si>
    <t>Planung IS</t>
  </si>
  <si>
    <t>Planung</t>
  </si>
  <si>
    <r>
      <t xml:space="preserve">Abweichung
</t>
    </r>
    <r>
      <rPr>
        <sz val="6"/>
        <rFont val="Arial"/>
        <family val="2"/>
      </rPr>
      <t>Planung von 
Rahmenkonzept</t>
    </r>
  </si>
  <si>
    <t xml:space="preserve"> Rahmenkonzept</t>
  </si>
  <si>
    <t xml:space="preserve"> A: Eckdaten mit Schülerprognose</t>
  </si>
  <si>
    <t xml:space="preserve"> B:  Klassennplanung</t>
  </si>
  <si>
    <t xml:space="preserve"> C: Stellenplanung</t>
  </si>
  <si>
    <t>Total Stellen (ungewichtet)</t>
  </si>
  <si>
    <t>Stellen Sonderschulung</t>
  </si>
  <si>
    <t>Stellen Integrierte Sonderschulung</t>
  </si>
  <si>
    <t>Total Stellen (gewichtet)</t>
  </si>
  <si>
    <t xml:space="preserve"> D:  Plandaten und Schülerprognosen/ Eckdaten und Rahmenkonzept</t>
  </si>
  <si>
    <t>Die Gewichtung der Stellen/Funktionen zur Stellenberechnung entnehmen Sie dem Tabellenblatt Stellenberechnung</t>
  </si>
  <si>
    <t xml:space="preserve"> nur  gelbe Felder ausfüllen</t>
  </si>
  <si>
    <t>Lektionenanzahl und Öffnungszeiten  (wird im Tabellenblatt Stellenberechnung in Stellen umgerechnet)</t>
  </si>
  <si>
    <t>s. auch Allgemeine Vertragsbedingungen für Sonderschulen</t>
  </si>
  <si>
    <t>Oberer Richtwert</t>
  </si>
  <si>
    <t>Anteil Management- und Supportleistungen  im Verhältnis zur  Gesamtstellenzahl</t>
  </si>
  <si>
    <t>ZH105</t>
  </si>
  <si>
    <t>ZH106</t>
  </si>
  <si>
    <t>ZH109</t>
  </si>
  <si>
    <t>ZH112</t>
  </si>
  <si>
    <t>ZH115</t>
  </si>
  <si>
    <t>ZH120</t>
  </si>
  <si>
    <t>ZH124</t>
  </si>
  <si>
    <t>ZH301</t>
  </si>
  <si>
    <t xml:space="preserve">zkj: Schulinternat Aathal                                        </t>
  </si>
  <si>
    <t>ZH308</t>
  </si>
  <si>
    <t xml:space="preserve">zkj: Schulinternat Redlikon                                     </t>
  </si>
  <si>
    <t>ZH327</t>
  </si>
  <si>
    <t xml:space="preserve">zkj: Vert.igo                                                                        </t>
  </si>
  <si>
    <t>ZH441</t>
  </si>
  <si>
    <t>ZH442</t>
  </si>
  <si>
    <t>ZH443</t>
  </si>
  <si>
    <t>ZH451</t>
  </si>
  <si>
    <t>ZH452</t>
  </si>
  <si>
    <t>ZH453</t>
  </si>
  <si>
    <t>ZH457</t>
  </si>
  <si>
    <t>ZH458</t>
  </si>
  <si>
    <t>ZH460</t>
  </si>
  <si>
    <t>ZH461</t>
  </si>
  <si>
    <t>ZH462</t>
  </si>
  <si>
    <t>ZH464</t>
  </si>
  <si>
    <t>Stiftung Sprachheilschulen im Kanton Zürich</t>
  </si>
  <si>
    <t>ZH467</t>
  </si>
  <si>
    <t>ZH469</t>
  </si>
  <si>
    <t>ZH470</t>
  </si>
  <si>
    <t>ZH471</t>
  </si>
  <si>
    <t>ZH472</t>
  </si>
  <si>
    <t>ZH473</t>
  </si>
  <si>
    <t>ZH474</t>
  </si>
  <si>
    <t>ZH476</t>
  </si>
  <si>
    <t>ZH478</t>
  </si>
  <si>
    <t>ZH480</t>
  </si>
  <si>
    <t>ZH484</t>
  </si>
  <si>
    <t>Schule für Körper- und Mehrf.behinderte (SKB)</t>
  </si>
  <si>
    <t>ZH488</t>
  </si>
  <si>
    <t>ZH489</t>
  </si>
  <si>
    <t>ZH496</t>
  </si>
  <si>
    <t>ZH497</t>
  </si>
  <si>
    <t>ZH520</t>
  </si>
  <si>
    <t>ZH521</t>
  </si>
  <si>
    <t>ZH522</t>
  </si>
  <si>
    <t>ZH525</t>
  </si>
  <si>
    <t>Stiftung RgZ: Heilpädagogische Schulen</t>
  </si>
  <si>
    <t>ZH526</t>
  </si>
  <si>
    <t>Stiftung m.a.c. – Sonderpädagogische Schule</t>
  </si>
  <si>
    <t>ZH527</t>
  </si>
  <si>
    <t>ZH528</t>
  </si>
  <si>
    <t>ZH530</t>
  </si>
  <si>
    <t>ZH532</t>
  </si>
  <si>
    <t>ZH533</t>
  </si>
  <si>
    <t>ZH534</t>
  </si>
  <si>
    <t>ZH536</t>
  </si>
  <si>
    <t>ZH537</t>
  </si>
  <si>
    <t>ZH538</t>
  </si>
  <si>
    <t>ZH539</t>
  </si>
  <si>
    <t>ZH541</t>
  </si>
  <si>
    <t>ZH543</t>
  </si>
  <si>
    <t xml:space="preserve">zkj:Tagessonderschule Intermezzo                                 </t>
  </si>
  <si>
    <t>ZH551</t>
  </si>
  <si>
    <t>zkj: Schulinternat Heimgarten</t>
  </si>
  <si>
    <t>ZH552</t>
  </si>
  <si>
    <t xml:space="preserve">zkj: Schulinternat Ringlikon                                           </t>
  </si>
  <si>
    <t>ZH601</t>
  </si>
  <si>
    <t xml:space="preserve">SSD: Schule für Sehbehinderte (SfS)                              </t>
  </si>
  <si>
    <t>ZH602</t>
  </si>
  <si>
    <t>Heilpädagogische Schule Stadt Zürich                            </t>
  </si>
  <si>
    <t>ZH603</t>
  </si>
  <si>
    <t>ZH604</t>
  </si>
  <si>
    <t>ZH605</t>
  </si>
  <si>
    <t>ZH606</t>
  </si>
  <si>
    <t>ZH607</t>
  </si>
  <si>
    <t>ZH609</t>
  </si>
  <si>
    <t>ZH610</t>
  </si>
  <si>
    <t>ZH611</t>
  </si>
  <si>
    <t>ZH612</t>
  </si>
  <si>
    <t>ZH614</t>
  </si>
  <si>
    <t>ZH615</t>
  </si>
  <si>
    <t>ZH616</t>
  </si>
  <si>
    <t>ZH1207</t>
  </si>
  <si>
    <t>Viventa, 15plus SHS</t>
  </si>
  <si>
    <t>Schüler-prognose</t>
  </si>
  <si>
    <t>Anzahl Klassen:</t>
  </si>
  <si>
    <t xml:space="preserve"> 8.12, 8.09 (Pädagogische Mitarbeitende mit fachverwandterAusbildung resp. Sozialpädagog/innen als Päd. Mitarbeiter/innen) (Gewichtung 75%)</t>
  </si>
  <si>
    <t xml:space="preserve"> 8.10 und 8.13 (Fachpersonen Betreuung in Ausbildung in der Schule und Personal in der Funktion als Pädagogische Mitarbeitende ohne fachverwandte Ausbildung) (Gewichtung 50%)</t>
  </si>
  <si>
    <t xml:space="preserve"> Alle nicht anrechenbaren externen Therapie-Stellen,  zum Beispiel medizinisch verordnete Therapien wie Ergotherapie oder Physiotherapie im Einzelfall</t>
  </si>
  <si>
    <t xml:space="preserve"> Funktionsnummern 2.02, 2.04, 2.05</t>
  </si>
  <si>
    <t xml:space="preserve"> in der Regel  7.03, 7.04, </t>
  </si>
  <si>
    <t xml:space="preserve"> in der Regel 7.14 oder 7.15</t>
  </si>
  <si>
    <t xml:space="preserve"> in der Regel   7.06, 7.07, 7.08 oder 7.09 (Gewichtung 75%)</t>
  </si>
  <si>
    <t xml:space="preserve"> Rahmen-konzept</t>
  </si>
  <si>
    <t>Dropdown</t>
  </si>
  <si>
    <t>KiGa</t>
  </si>
  <si>
    <t>US</t>
  </si>
  <si>
    <t>MS</t>
  </si>
  <si>
    <t>OS</t>
  </si>
  <si>
    <t>bis 5 Klassen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</si>
</sst>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rgb="FFFF00FF"/>
      <name val="Arial"/>
      <family val="2"/>
    </font>
    <font>
      <sz val="8"/>
      <color rgb="FFFF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color indexed="81"/>
      <name val="Segoe U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0" fontId="0" fillId="0" borderId="0" xfId="0" applyFill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wrapText="1"/>
    </xf>
    <xf numFmtId="0" fontId="6" fillId="4" borderId="0" xfId="0" applyFont="1" applyFill="1" applyAlignment="1" applyProtection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0" fillId="0" borderId="0" xfId="0" applyFill="1" applyBorder="1" applyAlignment="1" applyProtection="1"/>
    <xf numFmtId="0" fontId="4" fillId="0" borderId="0" xfId="0" applyFo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4" borderId="0" xfId="0" applyFont="1" applyFill="1" applyProtection="1"/>
    <xf numFmtId="0" fontId="4" fillId="4" borderId="0" xfId="0" applyFont="1" applyFill="1" applyProtection="1"/>
    <xf numFmtId="0" fontId="3" fillId="4" borderId="0" xfId="0" applyFont="1" applyFill="1" applyAlignment="1" applyProtection="1">
      <alignment horizontal="left"/>
    </xf>
    <xf numFmtId="0" fontId="0" fillId="4" borderId="0" xfId="0" applyFill="1" applyProtection="1"/>
    <xf numFmtId="0" fontId="0" fillId="0" borderId="0" xfId="0" applyBorder="1" applyProtection="1"/>
    <xf numFmtId="0" fontId="3" fillId="0" borderId="0" xfId="0" applyFont="1" applyFill="1" applyProtection="1"/>
    <xf numFmtId="0" fontId="11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0" fillId="0" borderId="7" xfId="0" applyBorder="1" applyProtection="1"/>
    <xf numFmtId="0" fontId="0" fillId="0" borderId="5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3" fillId="0" borderId="7" xfId="0" applyFont="1" applyFill="1" applyBorder="1" applyProtection="1"/>
    <xf numFmtId="0" fontId="4" fillId="0" borderId="0" xfId="0" applyFont="1" applyBorder="1" applyProtection="1"/>
    <xf numFmtId="0" fontId="0" fillId="0" borderId="0" xfId="0" applyFill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Fill="1" applyBorder="1" applyProtection="1"/>
    <xf numFmtId="2" fontId="12" fillId="0" borderId="0" xfId="0" applyNumberFormat="1" applyFont="1" applyFill="1" applyBorder="1" applyAlignment="1" applyProtection="1">
      <alignment horizontal="center"/>
    </xf>
    <xf numFmtId="0" fontId="4" fillId="0" borderId="15" xfId="0" applyFont="1" applyBorder="1" applyProtection="1"/>
    <xf numFmtId="0" fontId="13" fillId="0" borderId="0" xfId="0" applyFont="1" applyFill="1" applyBorder="1" applyProtection="1"/>
    <xf numFmtId="0" fontId="17" fillId="0" borderId="0" xfId="0" applyFont="1" applyProtection="1"/>
    <xf numFmtId="0" fontId="4" fillId="0" borderId="7" xfId="0" applyFont="1" applyBorder="1" applyProtection="1"/>
    <xf numFmtId="0" fontId="21" fillId="0" borderId="0" xfId="0" applyFont="1" applyFill="1" applyBorder="1" applyProtection="1"/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15" fillId="0" borderId="2" xfId="0" applyFont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/>
    <xf numFmtId="0" fontId="19" fillId="10" borderId="1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/>
    </xf>
    <xf numFmtId="0" fontId="19" fillId="8" borderId="18" xfId="0" applyFont="1" applyFill="1" applyBorder="1" applyAlignment="1">
      <alignment horizontal="center"/>
    </xf>
    <xf numFmtId="0" fontId="19" fillId="9" borderId="18" xfId="0" applyFont="1" applyFill="1" applyBorder="1" applyAlignment="1">
      <alignment horizontal="center"/>
    </xf>
    <xf numFmtId="0" fontId="2" fillId="6" borderId="0" xfId="0" applyFont="1" applyFill="1" applyAlignment="1" applyProtection="1">
      <alignment horizontal="right"/>
    </xf>
    <xf numFmtId="0" fontId="5" fillId="11" borderId="0" xfId="0" applyFont="1" applyFill="1" applyAlignment="1" applyProtection="1">
      <alignment horizontal="right"/>
    </xf>
    <xf numFmtId="0" fontId="1" fillId="0" borderId="0" xfId="0" applyFont="1" applyProtection="1"/>
    <xf numFmtId="0" fontId="1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3" fillId="1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/>
    </xf>
    <xf numFmtId="9" fontId="0" fillId="3" borderId="3" xfId="0" applyNumberFormat="1" applyFill="1" applyBorder="1" applyAlignment="1" applyProtection="1">
      <alignment horizontal="center"/>
      <protection locked="0"/>
    </xf>
    <xf numFmtId="9" fontId="4" fillId="3" borderId="4" xfId="0" applyNumberFormat="1" applyFont="1" applyFill="1" applyBorder="1" applyAlignment="1" applyProtection="1">
      <alignment horizontal="center"/>
      <protection locked="0"/>
    </xf>
    <xf numFmtId="9" fontId="3" fillId="2" borderId="2" xfId="0" applyNumberFormat="1" applyFont="1" applyFill="1" applyBorder="1" applyAlignment="1" applyProtection="1">
      <alignment horizontal="center"/>
    </xf>
    <xf numFmtId="2" fontId="0" fillId="2" borderId="2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</xf>
    <xf numFmtId="2" fontId="3" fillId="2" borderId="2" xfId="0" applyNumberFormat="1" applyFont="1" applyFill="1" applyBorder="1" applyAlignment="1" applyProtection="1">
      <alignment horizontal="center"/>
    </xf>
    <xf numFmtId="9" fontId="3" fillId="2" borderId="2" xfId="1" applyFont="1" applyFill="1" applyBorder="1" applyAlignment="1" applyProtection="1">
      <alignment horizontal="center"/>
    </xf>
    <xf numFmtId="2" fontId="0" fillId="2" borderId="10" xfId="0" applyNumberFormat="1" applyFill="1" applyBorder="1" applyAlignment="1" applyProtection="1">
      <alignment horizontal="center"/>
    </xf>
    <xf numFmtId="2" fontId="0" fillId="2" borderId="11" xfId="0" applyNumberFormat="1" applyFill="1" applyBorder="1" applyAlignment="1" applyProtection="1">
      <alignment horizontal="center"/>
    </xf>
    <xf numFmtId="2" fontId="0" fillId="2" borderId="7" xfId="0" applyNumberFormat="1" applyFill="1" applyBorder="1" applyAlignment="1" applyProtection="1">
      <alignment horizontal="center"/>
    </xf>
    <xf numFmtId="2" fontId="0" fillId="2" borderId="13" xfId="0" applyNumberFormat="1" applyFill="1" applyBorder="1" applyAlignment="1" applyProtection="1">
      <alignment horizontal="center"/>
    </xf>
    <xf numFmtId="2" fontId="0" fillId="6" borderId="14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4" fontId="4" fillId="2" borderId="16" xfId="0" applyNumberFormat="1" applyFont="1" applyFill="1" applyBorder="1" applyAlignment="1" applyProtection="1">
      <alignment horizontal="center"/>
    </xf>
    <xf numFmtId="2" fontId="4" fillId="2" borderId="17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9" fontId="13" fillId="6" borderId="0" xfId="1" applyFont="1" applyFill="1" applyBorder="1" applyAlignment="1" applyProtection="1">
      <alignment horizontal="center"/>
    </xf>
    <xf numFmtId="0" fontId="13" fillId="6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9" fontId="1" fillId="0" borderId="0" xfId="0" applyNumberFormat="1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26" xfId="0" applyBorder="1" applyProtection="1"/>
    <xf numFmtId="9" fontId="0" fillId="3" borderId="1" xfId="0" applyNumberFormat="1" applyFill="1" applyBorder="1" applyAlignment="1" applyProtection="1">
      <alignment horizontal="center"/>
      <protection locked="0"/>
    </xf>
    <xf numFmtId="9" fontId="0" fillId="2" borderId="2" xfId="0" applyNumberFormat="1" applyFill="1" applyBorder="1" applyAlignment="1" applyProtection="1">
      <alignment horizontal="center"/>
    </xf>
    <xf numFmtId="9" fontId="0" fillId="3" borderId="2" xfId="0" applyNumberFormat="1" applyFill="1" applyBorder="1" applyAlignment="1" applyProtection="1">
      <alignment horizontal="center"/>
      <protection locked="0"/>
    </xf>
    <xf numFmtId="0" fontId="0" fillId="0" borderId="27" xfId="0" applyBorder="1" applyProtection="1"/>
    <xf numFmtId="0" fontId="0" fillId="0" borderId="0" xfId="0" applyAlignment="1" applyProtection="1">
      <alignment horizontal="left"/>
    </xf>
    <xf numFmtId="0" fontId="2" fillId="5" borderId="2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0" borderId="7" xfId="0" applyFont="1" applyBorder="1" applyProtection="1"/>
    <xf numFmtId="0" fontId="1" fillId="14" borderId="2" xfId="0" applyFont="1" applyFill="1" applyBorder="1" applyAlignment="1" applyProtection="1">
      <alignment horizontal="center"/>
    </xf>
    <xf numFmtId="2" fontId="1" fillId="14" borderId="2" xfId="0" applyNumberFormat="1" applyFont="1" applyFill="1" applyBorder="1" applyAlignment="1" applyProtection="1">
      <alignment horizontal="center"/>
    </xf>
    <xf numFmtId="10" fontId="1" fillId="14" borderId="2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20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2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5" xfId="0" applyFont="1" applyFill="1" applyBorder="1" applyProtection="1"/>
    <xf numFmtId="2" fontId="1" fillId="2" borderId="16" xfId="0" applyNumberFormat="1" applyFont="1" applyFill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2" fillId="0" borderId="0" xfId="0" applyFont="1" applyAlignment="1" applyProtection="1">
      <alignment horizontal="left"/>
    </xf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9" fillId="10" borderId="30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9" borderId="30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Protection="1"/>
    <xf numFmtId="0" fontId="1" fillId="0" borderId="6" xfId="0" applyFont="1" applyBorder="1" applyProtection="1"/>
    <xf numFmtId="0" fontId="1" fillId="0" borderId="12" xfId="0" applyFont="1" applyBorder="1" applyProtection="1"/>
    <xf numFmtId="9" fontId="1" fillId="3" borderId="5" xfId="0" applyNumberFormat="1" applyFont="1" applyFill="1" applyBorder="1" applyAlignment="1" applyProtection="1">
      <alignment horizontal="center"/>
      <protection locked="0"/>
    </xf>
    <xf numFmtId="9" fontId="1" fillId="3" borderId="4" xfId="0" applyNumberFormat="1" applyFont="1" applyFill="1" applyBorder="1" applyAlignment="1" applyProtection="1">
      <alignment horizontal="center"/>
      <protection locked="0"/>
    </xf>
    <xf numFmtId="0" fontId="25" fillId="0" borderId="0" xfId="0" applyFont="1"/>
    <xf numFmtId="9" fontId="1" fillId="0" borderId="3" xfId="0" applyNumberFormat="1" applyFont="1" applyBorder="1" applyAlignment="1">
      <alignment horizontal="center"/>
    </xf>
    <xf numFmtId="0" fontId="1" fillId="0" borderId="2" xfId="0" applyFont="1" applyFill="1" applyBorder="1"/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9" fillId="7" borderId="25" xfId="0" applyFont="1" applyFill="1" applyBorder="1"/>
    <xf numFmtId="0" fontId="29" fillId="7" borderId="25" xfId="0" applyFont="1" applyFill="1" applyBorder="1" applyAlignment="1">
      <alignment horizontal="center"/>
    </xf>
    <xf numFmtId="0" fontId="15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31" fillId="2" borderId="2" xfId="0" applyFont="1" applyFill="1" applyBorder="1" applyAlignment="1" applyProtection="1">
      <alignment horizontal="center" vertical="center"/>
    </xf>
    <xf numFmtId="0" fontId="3" fillId="0" borderId="30" xfId="0" applyFont="1" applyBorder="1" applyProtection="1"/>
    <xf numFmtId="2" fontId="3" fillId="2" borderId="16" xfId="0" applyNumberFormat="1" applyFont="1" applyFill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</xf>
    <xf numFmtId="2" fontId="0" fillId="2" borderId="27" xfId="0" applyNumberFormat="1" applyFill="1" applyBorder="1" applyAlignment="1" applyProtection="1">
      <alignment horizontal="center"/>
    </xf>
    <xf numFmtId="0" fontId="18" fillId="0" borderId="0" xfId="0" applyFont="1" applyBorder="1" applyProtection="1"/>
    <xf numFmtId="0" fontId="3" fillId="0" borderId="2" xfId="0" applyFont="1" applyBorder="1"/>
    <xf numFmtId="0" fontId="6" fillId="3" borderId="0" xfId="0" applyFont="1" applyFill="1" applyAlignment="1" applyProtection="1">
      <alignment horizontal="center" wrapText="1"/>
    </xf>
    <xf numFmtId="0" fontId="16" fillId="0" borderId="2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12" borderId="2" xfId="0" applyFont="1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15" fillId="0" borderId="2" xfId="0" applyFont="1" applyFill="1" applyBorder="1" applyAlignment="1" applyProtection="1"/>
    <xf numFmtId="0" fontId="30" fillId="0" borderId="8" xfId="0" applyFont="1" applyBorder="1" applyAlignment="1" applyProtection="1">
      <alignment horizontal="left"/>
    </xf>
    <xf numFmtId="0" fontId="30" fillId="0" borderId="28" xfId="0" applyFont="1" applyBorder="1" applyAlignment="1" applyProtection="1">
      <alignment horizontal="left"/>
    </xf>
    <xf numFmtId="0" fontId="30" fillId="0" borderId="4" xfId="0" applyFont="1" applyBorder="1" applyAlignment="1" applyProtection="1">
      <alignment horizontal="left"/>
    </xf>
    <xf numFmtId="0" fontId="30" fillId="0" borderId="27" xfId="0" applyFont="1" applyBorder="1" applyAlignment="1" applyProtection="1">
      <alignment horizontal="left"/>
    </xf>
    <xf numFmtId="0" fontId="30" fillId="0" borderId="29" xfId="0" applyFont="1" applyBorder="1" applyAlignment="1" applyProtection="1">
      <alignment horizontal="left"/>
    </xf>
    <xf numFmtId="0" fontId="30" fillId="0" borderId="5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4" fillId="13" borderId="2" xfId="0" applyFont="1" applyFill="1" applyBorder="1" applyAlignment="1" applyProtection="1">
      <alignment horizontal="left" vertical="top" wrapText="1"/>
      <protection locked="0"/>
    </xf>
    <xf numFmtId="2" fontId="0" fillId="2" borderId="23" xfId="0" applyNumberFormat="1" applyFill="1" applyBorder="1" applyAlignment="1" applyProtection="1">
      <alignment horizontal="center"/>
    </xf>
    <xf numFmtId="2" fontId="0" fillId="2" borderId="24" xfId="0" applyNumberFormat="1" applyFill="1" applyBorder="1" applyAlignment="1" applyProtection="1">
      <alignment horizontal="center"/>
    </xf>
    <xf numFmtId="2" fontId="4" fillId="2" borderId="20" xfId="0" applyNumberFormat="1" applyFont="1" applyFill="1" applyBorder="1" applyAlignment="1" applyProtection="1">
      <alignment horizontal="center"/>
    </xf>
    <xf numFmtId="2" fontId="4" fillId="2" borderId="21" xfId="0" applyNumberFormat="1" applyFont="1" applyFill="1" applyBorder="1" applyAlignment="1" applyProtection="1">
      <alignment horizontal="center"/>
    </xf>
    <xf numFmtId="2" fontId="4" fillId="2" borderId="19" xfId="0" applyNumberFormat="1" applyFont="1" applyFill="1" applyBorder="1" applyAlignment="1" applyProtection="1">
      <alignment horizontal="center"/>
    </xf>
    <xf numFmtId="2" fontId="0" fillId="2" borderId="22" xfId="0" applyNumberFormat="1" applyFill="1" applyBorder="1" applyAlignment="1" applyProtection="1">
      <alignment horizontal="center"/>
    </xf>
    <xf numFmtId="0" fontId="22" fillId="0" borderId="26" xfId="0" applyFont="1" applyBorder="1" applyAlignment="1">
      <alignment horizontal="center" vertical="center" wrapText="1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2"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50"/>
        </patternFill>
      </fill>
    </dxf>
  </dxfs>
  <tableStyles count="0" defaultTableStyle="TableStyleMedium2" defaultPivotStyle="PivotStyleLight16"/>
  <colors>
    <mruColors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9525</xdr:rowOff>
    </xdr:to>
    <xdr:pic>
      <xdr:nvPicPr>
        <xdr:cNvPr id="3361" name="Picture 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0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0</xdr:row>
      <xdr:rowOff>28575</xdr:rowOff>
    </xdr:from>
    <xdr:to>
      <xdr:col>6</xdr:col>
      <xdr:colOff>428625</xdr:colOff>
      <xdr:row>3</xdr:row>
      <xdr:rowOff>6414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8198" y="28575"/>
          <a:ext cx="2405528" cy="503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Kanton Zürich</a:t>
          </a:r>
          <a:br>
            <a:rPr lang="de-DE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Bildungsdirektion</a:t>
          </a:r>
          <a:endParaRPr lang="de-CH" sz="8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t_Sonderp&#228;dagogisches\01-Abteilung\01-Stab\02-Finanzen\01_FiCo\015_Controlling\Schnittstelle_AJB\CoRep_M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"/>
      <sheetName val="FS"/>
      <sheetName val="Tg"/>
      <sheetName val="JR"/>
      <sheetName val="Verf (2)"/>
      <sheetName val="Verf"/>
      <sheetName val="oview"/>
      <sheetName val="ratios mikro"/>
      <sheetName val="Tab_Angeb"/>
      <sheetName val="ratios makro"/>
    </sheetNames>
    <sheetDataSet>
      <sheetData sheetId="0">
        <row r="1">
          <cell r="A1" t="str">
            <v>ID</v>
          </cell>
          <cell r="B1" t="str">
            <v>Amt</v>
          </cell>
          <cell r="C1" t="str">
            <v>Institution</v>
          </cell>
          <cell r="D1" t="str">
            <v>Name</v>
          </cell>
          <cell r="E1" t="str">
            <v>Vorname</v>
          </cell>
          <cell r="F1" t="str">
            <v xml:space="preserve">Strasse </v>
          </cell>
          <cell r="G1" t="str">
            <v>Nr.</v>
          </cell>
          <cell r="H1" t="str">
            <v>PLZ</v>
          </cell>
          <cell r="I1" t="str">
            <v>Ort</v>
          </cell>
          <cell r="J1" t="str">
            <v>Tel</v>
          </cell>
          <cell r="K1" t="str">
            <v>Funktion</v>
          </cell>
          <cell r="L1" t="str">
            <v>Trägerschaft</v>
          </cell>
          <cell r="M1" t="str">
            <v>e-mail</v>
          </cell>
          <cell r="N1" t="str">
            <v xml:space="preserve">Auszahlung an </v>
          </cell>
          <cell r="O1" t="str">
            <v>Konto</v>
          </cell>
          <cell r="P1" t="str">
            <v>Konto-Nummer</v>
          </cell>
        </row>
        <row r="2">
          <cell r="A2" t="str">
            <v>zh451</v>
          </cell>
          <cell r="B2" t="str">
            <v>VSA</v>
          </cell>
          <cell r="C2" t="str">
            <v>HPS St Michael</v>
          </cell>
          <cell r="D2" t="str">
            <v>Fischer</v>
          </cell>
          <cell r="E2" t="str">
            <v>Andreas</v>
          </cell>
          <cell r="F2" t="str">
            <v>Oberstrasse 16</v>
          </cell>
          <cell r="G2">
            <v>16</v>
          </cell>
          <cell r="H2">
            <v>9038</v>
          </cell>
          <cell r="I2" t="str">
            <v>Rehetobel</v>
          </cell>
          <cell r="J2" t="str">
            <v>071 877 25 92</v>
          </cell>
          <cell r="K2" t="str">
            <v>Präsident</v>
          </cell>
          <cell r="L2" t="str">
            <v>Verein Heilpäd. Institut St. Michael</v>
          </cell>
          <cell r="M2" t="str">
            <v>st.michael.adetswil@bluewin.ch</v>
          </cell>
          <cell r="N2" t="str">
            <v>Heilpädagogisches Institut St. Michael</v>
          </cell>
          <cell r="O2" t="str">
            <v xml:space="preserve">Credit Suisse </v>
          </cell>
          <cell r="P2" t="str">
            <v>80-500-4   / BC 551</v>
          </cell>
        </row>
        <row r="3">
          <cell r="A3" t="str">
            <v>zh105</v>
          </cell>
          <cell r="B3" t="str">
            <v>VSA</v>
          </cell>
          <cell r="C3" t="str">
            <v>SH Friedheim</v>
          </cell>
          <cell r="F3" t="str">
            <v>Friedheimstrasse 14</v>
          </cell>
          <cell r="G3">
            <v>14</v>
          </cell>
          <cell r="H3">
            <v>8608</v>
          </cell>
          <cell r="I3" t="str">
            <v>Bubikon</v>
          </cell>
          <cell r="J3" t="str">
            <v>044 940 64 71</v>
          </cell>
          <cell r="K3" t="str">
            <v>Präsidentin</v>
          </cell>
          <cell r="L3" t="str">
            <v>Trägerverein Friedheim Bubikon</v>
          </cell>
          <cell r="M3" t="str">
            <v>info@friedheim.ch</v>
          </cell>
          <cell r="N3" t="str">
            <v xml:space="preserve">Sonderschulheim Friedheim </v>
          </cell>
          <cell r="O3" t="str">
            <v>Postcheckkonto</v>
          </cell>
          <cell r="P3" t="str">
            <v>80-1884-7</v>
          </cell>
        </row>
        <row r="4">
          <cell r="A4" t="str">
            <v>zh452</v>
          </cell>
          <cell r="B4" t="str">
            <v>VSA</v>
          </cell>
          <cell r="C4" t="str">
            <v>SH Dielsdorf</v>
          </cell>
          <cell r="D4" t="str">
            <v>Greutmann</v>
          </cell>
          <cell r="E4" t="str">
            <v>Rolf</v>
          </cell>
          <cell r="F4" t="str">
            <v>Spitalstrasse 12</v>
          </cell>
          <cell r="G4">
            <v>12</v>
          </cell>
          <cell r="H4">
            <v>8157</v>
          </cell>
          <cell r="I4" t="str">
            <v>Dielsdorf</v>
          </cell>
          <cell r="J4" t="str">
            <v xml:space="preserve">044 855 55 11 </v>
          </cell>
          <cell r="K4" t="str">
            <v xml:space="preserve">Präsident Stiftungsrat </v>
          </cell>
          <cell r="L4" t="str">
            <v>Stiftung Schulheim Dielsdorf für cerebral Gelähmte</v>
          </cell>
          <cell r="M4" t="str">
            <v>info@stsd.ch</v>
          </cell>
          <cell r="N4" t="str">
            <v>Stiftung Schulheim Dielsdorf</v>
          </cell>
          <cell r="O4" t="str">
            <v>ZKB</v>
          </cell>
          <cell r="P4" t="str">
            <v>1125-0555.522   / BC725</v>
          </cell>
        </row>
        <row r="5">
          <cell r="A5" t="str">
            <v>zh106</v>
          </cell>
          <cell r="B5" t="str">
            <v>VSA</v>
          </cell>
          <cell r="C5" t="str">
            <v>SH Elgg</v>
          </cell>
          <cell r="D5" t="str">
            <v>Rohner</v>
          </cell>
          <cell r="E5" t="str">
            <v>Dr. Jürg</v>
          </cell>
          <cell r="F5" t="str">
            <v>Mettlenstrasse 20</v>
          </cell>
          <cell r="G5">
            <v>20</v>
          </cell>
          <cell r="H5">
            <v>8409</v>
          </cell>
          <cell r="I5" t="str">
            <v>Winterthur</v>
          </cell>
          <cell r="K5" t="str">
            <v>Präsident</v>
          </cell>
          <cell r="L5" t="str">
            <v>Heimverein Elgg</v>
          </cell>
          <cell r="M5" t="str">
            <v>gesamtleitung@schulheim.ch</v>
          </cell>
          <cell r="N5" t="str">
            <v>Schulheim Elgg</v>
          </cell>
          <cell r="O5" t="str">
            <v>Zürcher Landbank Elgg</v>
          </cell>
          <cell r="P5" t="str">
            <v>160.075.316.05   / BC 6877</v>
          </cell>
        </row>
        <row r="6">
          <cell r="A6" t="str">
            <v>zh453</v>
          </cell>
          <cell r="B6" t="str">
            <v>VSA</v>
          </cell>
          <cell r="C6" t="str">
            <v>SH Ilgenhalde</v>
          </cell>
          <cell r="F6" t="str">
            <v>Beckenhofstrasse 16</v>
          </cell>
          <cell r="G6">
            <v>2</v>
          </cell>
          <cell r="H6">
            <v>8006</v>
          </cell>
          <cell r="I6" t="str">
            <v>Zürich</v>
          </cell>
          <cell r="K6" t="str">
            <v xml:space="preserve">Präsident Stiftungsrat </v>
          </cell>
          <cell r="L6" t="str">
            <v>Stiftung Illgenhalde</v>
          </cell>
          <cell r="M6" t="str">
            <v>monique.christen@ilgenhalde.ch</v>
          </cell>
          <cell r="N6" t="str">
            <v>Sonderschulheim Ilgenhalde, 8320 Fehraltdorf</v>
          </cell>
          <cell r="O6" t="str">
            <v>ZKB Fehraltdorf</v>
          </cell>
          <cell r="P6" t="str">
            <v>1142-109.077</v>
          </cell>
        </row>
        <row r="7">
          <cell r="A7" t="str">
            <v>zh109</v>
          </cell>
          <cell r="B7" t="str">
            <v>VSA</v>
          </cell>
          <cell r="C7" t="str">
            <v>Wohnschule Freienstein</v>
          </cell>
          <cell r="D7" t="str">
            <v>Ebneter</v>
          </cell>
          <cell r="E7" t="str">
            <v>Werner</v>
          </cell>
          <cell r="F7" t="str">
            <v>Auf dem Freienstein</v>
          </cell>
          <cell r="H7">
            <v>8427</v>
          </cell>
          <cell r="I7" t="str">
            <v>Freienstein</v>
          </cell>
          <cell r="J7" t="str">
            <v>044 865 27 09</v>
          </cell>
          <cell r="K7" t="str">
            <v>Präsident</v>
          </cell>
          <cell r="L7" t="str">
            <v>Trägerverein Wohnschule Freienstein</v>
          </cell>
          <cell r="M7" t="str">
            <v>info@wohnschule.ch</v>
          </cell>
          <cell r="N7" t="str">
            <v>Verein Wohnschule Freienstein</v>
          </cell>
          <cell r="O7" t="str">
            <v>ZKB Zürich</v>
          </cell>
          <cell r="P7" t="str">
            <v>1124-0177.007   / BC 724</v>
          </cell>
        </row>
        <row r="8">
          <cell r="A8" t="str">
            <v>zh112</v>
          </cell>
          <cell r="B8" t="str">
            <v>VSA</v>
          </cell>
          <cell r="C8" t="str">
            <v>Albisbrunn</v>
          </cell>
          <cell r="D8" t="str">
            <v>Bertschi</v>
          </cell>
          <cell r="E8" t="str">
            <v>Jean-Jacques</v>
          </cell>
          <cell r="F8" t="str">
            <v>Ettenbergstr. 58</v>
          </cell>
          <cell r="G8">
            <v>58</v>
          </cell>
          <cell r="H8">
            <v>8907</v>
          </cell>
          <cell r="I8" t="str">
            <v>Wettswil</v>
          </cell>
          <cell r="J8" t="str">
            <v>044 700 13 45</v>
          </cell>
          <cell r="K8" t="str">
            <v xml:space="preserve">Präsident Stiftungsrat </v>
          </cell>
          <cell r="L8" t="str">
            <v>Stiftung Albisbrunn</v>
          </cell>
          <cell r="M8" t="str">
            <v>info@albisbrunn.ch</v>
          </cell>
          <cell r="N8" t="str">
            <v>Stiftung Albisbrunn</v>
          </cell>
          <cell r="O8" t="str">
            <v>ZKB Zürich</v>
          </cell>
          <cell r="P8" t="str">
            <v>1121-0713.001   /  BC 721</v>
          </cell>
        </row>
        <row r="9">
          <cell r="A9" t="str">
            <v>zh120</v>
          </cell>
          <cell r="B9" t="str">
            <v>VSA</v>
          </cell>
          <cell r="C9" t="str">
            <v>Pestalozzihaus Räterschen</v>
          </cell>
          <cell r="D9" t="str">
            <v>Karrer Dr.iur.</v>
          </cell>
          <cell r="E9" t="str">
            <v>Robert</v>
          </cell>
          <cell r="F9" t="str">
            <v>Brandschenkenstr. 90</v>
          </cell>
          <cell r="G9">
            <v>90</v>
          </cell>
          <cell r="H9">
            <v>8027</v>
          </cell>
          <cell r="I9" t="str">
            <v>Zürich</v>
          </cell>
          <cell r="J9" t="str">
            <v>058 261 50 00</v>
          </cell>
          <cell r="K9" t="str">
            <v xml:space="preserve">Präsident Stiftungsrat </v>
          </cell>
          <cell r="L9" t="str">
            <v>Zürcherische Pestalozzistiftung</v>
          </cell>
          <cell r="M9" t="str">
            <v>info@pestalozzihaus.ch</v>
          </cell>
          <cell r="N9" t="str">
            <v>Pestalozzihaus Räterschen</v>
          </cell>
          <cell r="O9" t="str">
            <v>ZKB</v>
          </cell>
          <cell r="P9" t="str">
            <v>1132-1315.005   /  BC 700</v>
          </cell>
        </row>
        <row r="10">
          <cell r="A10" t="str">
            <v>zh124</v>
          </cell>
          <cell r="B10" t="str">
            <v>VSA</v>
          </cell>
          <cell r="C10" t="str">
            <v>WS Grundhof</v>
          </cell>
          <cell r="D10" t="str">
            <v>Brunschweiler</v>
          </cell>
          <cell r="E10" t="str">
            <v>Stefan</v>
          </cell>
          <cell r="F10" t="str">
            <v>Grundhofstrasse 74</v>
          </cell>
          <cell r="G10">
            <v>74</v>
          </cell>
          <cell r="H10">
            <v>8404</v>
          </cell>
          <cell r="I10" t="str">
            <v>Stadel b. Winterthur</v>
          </cell>
          <cell r="J10" t="str">
            <v>052 269 19 80</v>
          </cell>
          <cell r="K10" t="str">
            <v>Präsident</v>
          </cell>
          <cell r="L10" t="str">
            <v>Verein Werkschule Grundhof</v>
          </cell>
          <cell r="M10" t="str">
            <v>info@grundhof.ch</v>
          </cell>
          <cell r="N10" t="str">
            <v>Werkschule Grundhof</v>
          </cell>
          <cell r="O10" t="str">
            <v>Postcheckkonto</v>
          </cell>
          <cell r="P10" t="str">
            <v>84-20658-3</v>
          </cell>
        </row>
        <row r="11">
          <cell r="A11" t="str">
            <v>zh457</v>
          </cell>
          <cell r="B11" t="str">
            <v>VSA</v>
          </cell>
          <cell r="C11" t="str">
            <v>Schloss Regensberg</v>
          </cell>
          <cell r="D11" t="str">
            <v>Meier</v>
          </cell>
          <cell r="E11" t="str">
            <v>Prof. Dr. Walter</v>
          </cell>
          <cell r="F11" t="str">
            <v>Oberburg  47</v>
          </cell>
          <cell r="G11">
            <v>47</v>
          </cell>
          <cell r="H11">
            <v>8158</v>
          </cell>
          <cell r="I11" t="str">
            <v>Regensberg</v>
          </cell>
          <cell r="K11" t="str">
            <v xml:space="preserve">Präsident Stiftungsrat </v>
          </cell>
          <cell r="L11" t="str">
            <v>Stiftung Schloss Regensberg</v>
          </cell>
          <cell r="M11" t="str">
            <v>info@schlossregensberg.ch</v>
          </cell>
          <cell r="N11" t="str">
            <v>Stiftung Schloss Regensberg</v>
          </cell>
          <cell r="O11" t="str">
            <v>Postcheckkonto der ZKB</v>
          </cell>
          <cell r="P11" t="str">
            <v>80-151-4</v>
          </cell>
        </row>
        <row r="12">
          <cell r="A12" t="str">
            <v>zh458</v>
          </cell>
          <cell r="B12" t="str">
            <v>VSA</v>
          </cell>
          <cell r="C12" t="str">
            <v>Pestalozziheim Buechweid</v>
          </cell>
          <cell r="D12" t="str">
            <v>Angst</v>
          </cell>
          <cell r="E12" t="str">
            <v>Roman</v>
          </cell>
          <cell r="F12" t="str">
            <v>Buechweid  11</v>
          </cell>
          <cell r="G12">
            <v>11</v>
          </cell>
          <cell r="H12">
            <v>8332</v>
          </cell>
          <cell r="I12" t="str">
            <v>Russikon</v>
          </cell>
          <cell r="K12" t="str">
            <v xml:space="preserve">Präsident Stiftungsrat </v>
          </cell>
          <cell r="L12" t="str">
            <v>Stiftung Buechweid</v>
          </cell>
          <cell r="M12" t="str">
            <v>info@buechweid.ch</v>
          </cell>
          <cell r="N12" t="str">
            <v>Stiftung Buechweid Russikon</v>
          </cell>
          <cell r="O12" t="str">
            <v>Sparkasse Zch. Oberland</v>
          </cell>
          <cell r="P12" t="str">
            <v>169.210.343.I0  /  BC 6850</v>
          </cell>
        </row>
        <row r="13">
          <cell r="A13" t="str">
            <v>zh464</v>
          </cell>
          <cell r="B13" t="str">
            <v>VSA</v>
          </cell>
          <cell r="C13" t="str">
            <v>Sprachheilschule Zürich</v>
          </cell>
          <cell r="D13" t="str">
            <v>Gasner</v>
          </cell>
          <cell r="E13" t="str">
            <v>Karl</v>
          </cell>
          <cell r="F13" t="str">
            <v>Seestrasse 101</v>
          </cell>
          <cell r="G13">
            <v>101</v>
          </cell>
          <cell r="H13">
            <v>8712</v>
          </cell>
          <cell r="I13" t="str">
            <v>Stäfa</v>
          </cell>
          <cell r="K13" t="str">
            <v xml:space="preserve">Präsident Stiftungsrat </v>
          </cell>
          <cell r="L13" t="str">
            <v>Stiftung Sprachheilschulen im Kanton Zürich</v>
          </cell>
          <cell r="M13" t="str">
            <v>zuerich@sprachheilschulen.ch</v>
          </cell>
          <cell r="N13" t="str">
            <v>noch keine Verfügung</v>
          </cell>
        </row>
        <row r="14">
          <cell r="A14" t="str">
            <v>zh460</v>
          </cell>
          <cell r="B14" t="str">
            <v>VSA</v>
          </cell>
          <cell r="C14" t="str">
            <v>Stiftung Bühl</v>
          </cell>
          <cell r="D14" t="str">
            <v>Zollinger</v>
          </cell>
          <cell r="E14" t="str">
            <v>Johannes</v>
          </cell>
          <cell r="F14" t="str">
            <v>Schönenbergstrasse 99</v>
          </cell>
          <cell r="G14">
            <v>99</v>
          </cell>
          <cell r="H14">
            <v>8820</v>
          </cell>
          <cell r="I14" t="str">
            <v>Wädenswil</v>
          </cell>
          <cell r="K14" t="str">
            <v xml:space="preserve">Präsident Stiftungsrat </v>
          </cell>
          <cell r="L14" t="str">
            <v>Stiftung Bühl</v>
          </cell>
          <cell r="M14" t="str">
            <v>info@stiftung-buehl.ch</v>
          </cell>
          <cell r="N14" t="str">
            <v>Stiftung Bühl, 8820 Wädenswil</v>
          </cell>
          <cell r="O14" t="str">
            <v>Postcheckkonto</v>
          </cell>
          <cell r="P14" t="str">
            <v>80-5058-8</v>
          </cell>
        </row>
        <row r="15">
          <cell r="A15" t="str">
            <v>zh461</v>
          </cell>
          <cell r="B15" t="str">
            <v>VSA</v>
          </cell>
          <cell r="C15" t="str">
            <v>Mathilde Escher Heim</v>
          </cell>
          <cell r="F15" t="str">
            <v>Lenggstrasse 60</v>
          </cell>
          <cell r="G15">
            <v>17</v>
          </cell>
          <cell r="H15">
            <v>8708</v>
          </cell>
          <cell r="I15" t="str">
            <v>Männedorf</v>
          </cell>
          <cell r="K15" t="str">
            <v xml:space="preserve">Präsident Stiftungsrat </v>
          </cell>
          <cell r="L15" t="str">
            <v>Mathilde Escher-Stiftung</v>
          </cell>
          <cell r="M15" t="str">
            <v>j.roffler@meh.ch</v>
          </cell>
          <cell r="N15" t="str">
            <v>Mathilde Escher Heim</v>
          </cell>
          <cell r="O15" t="str">
            <v>ZKB</v>
          </cell>
          <cell r="P15" t="str">
            <v>1100-3993.991  /  BC 700</v>
          </cell>
        </row>
        <row r="16">
          <cell r="A16" t="str">
            <v>zh551</v>
          </cell>
          <cell r="B16" t="str">
            <v>VSA</v>
          </cell>
          <cell r="C16" t="str">
            <v>.</v>
          </cell>
          <cell r="M16" t="str">
            <v>info.heimgarten@zkj.ch</v>
          </cell>
        </row>
        <row r="17">
          <cell r="A17" t="str">
            <v>zh115</v>
          </cell>
          <cell r="B17" t="str">
            <v>VSA</v>
          </cell>
          <cell r="C17" t="str">
            <v>Pestalozzistiftung Knonau</v>
          </cell>
          <cell r="D17" t="str">
            <v>Loosli</v>
          </cell>
          <cell r="E17" t="str">
            <v>Dieter</v>
          </cell>
          <cell r="F17" t="str">
            <v>Langacker</v>
          </cell>
          <cell r="H17">
            <v>8934</v>
          </cell>
          <cell r="I17" t="str">
            <v>Knonau</v>
          </cell>
          <cell r="M17" t="str">
            <v>info@pestalozzistiftung.ch</v>
          </cell>
          <cell r="N17" t="str">
            <v>Zürcherische Pestalozzistiftung Knonau</v>
          </cell>
          <cell r="O17" t="str">
            <v>ZKB Zürich</v>
          </cell>
          <cell r="P17" t="str">
            <v>1100-7390.000   / BC 700</v>
          </cell>
        </row>
        <row r="18">
          <cell r="A18" t="str">
            <v>zh462</v>
          </cell>
          <cell r="B18" t="str">
            <v>VSA</v>
          </cell>
          <cell r="C18" t="str">
            <v>SH Tanne</v>
          </cell>
          <cell r="M18" t="str">
            <v>info@tanne.ch</v>
          </cell>
          <cell r="N18" t="str">
            <v>noch keine Verfügung</v>
          </cell>
        </row>
        <row r="19">
          <cell r="A19" t="str">
            <v>zh308</v>
          </cell>
          <cell r="B19" t="str">
            <v>VSA</v>
          </cell>
          <cell r="C19" t="str">
            <v>Villa RA ZKJ</v>
          </cell>
          <cell r="M19" t="str">
            <v>info.villara@zkj.ch</v>
          </cell>
          <cell r="N19" t="str">
            <v>Verrechnen</v>
          </cell>
        </row>
        <row r="20">
          <cell r="A20" t="str">
            <v>zh463</v>
          </cell>
          <cell r="B20" t="str">
            <v>VSA</v>
          </cell>
          <cell r="C20" t="str">
            <v>Sprachheilschule Stäfa</v>
          </cell>
          <cell r="M20" t="str">
            <v>staefa@sprachheilschulen.ch</v>
          </cell>
          <cell r="N20" t="str">
            <v>noch keine Verfügung</v>
          </cell>
        </row>
        <row r="21">
          <cell r="A21" t="str">
            <v>zh552</v>
          </cell>
          <cell r="B21" t="str">
            <v>VSA</v>
          </cell>
          <cell r="C21" t="str">
            <v>Ringlikon ZKJ</v>
          </cell>
          <cell r="M21" t="str">
            <v>info.ringlikon@zkj.ch</v>
          </cell>
          <cell r="N21" t="str">
            <v>Verrechnen</v>
          </cell>
        </row>
        <row r="22">
          <cell r="B22" t="str">
            <v>VSA</v>
          </cell>
          <cell r="C22" t="str">
            <v>Zentrum f. Sprach- und Gehörl. ZH</v>
          </cell>
          <cell r="M22" t="str">
            <v>info@zgsz.ch</v>
          </cell>
          <cell r="N22" t="str">
            <v>noch keine Verfügung</v>
          </cell>
        </row>
        <row r="23">
          <cell r="B23" t="str">
            <v>VSA</v>
          </cell>
          <cell r="C23" t="str">
            <v>Rivapiana Minusio ZKJ</v>
          </cell>
          <cell r="N23" t="str">
            <v>Verrechnen</v>
          </cell>
        </row>
        <row r="24">
          <cell r="B24" t="str">
            <v>AJB/VSA</v>
          </cell>
          <cell r="C24" t="str">
            <v>Stiftung ZKJ</v>
          </cell>
          <cell r="D24" t="str">
            <v xml:space="preserve">Eugster </v>
          </cell>
          <cell r="E24" t="str">
            <v>Theo</v>
          </cell>
          <cell r="F24" t="str">
            <v>Postfach</v>
          </cell>
          <cell r="H24">
            <v>8035</v>
          </cell>
          <cell r="I24" t="str">
            <v>Zürich</v>
          </cell>
          <cell r="K24" t="str">
            <v xml:space="preserve">Präsident Stiftungsrat </v>
          </cell>
          <cell r="L24" t="str">
            <v>Stiftung Zürcher Kinder- und Jugendheime</v>
          </cell>
          <cell r="N24" t="str">
            <v>Verrechnen</v>
          </cell>
        </row>
      </sheetData>
      <sheetData sheetId="1">
        <row r="3">
          <cell r="A3" t="str">
            <v>zh453K</v>
          </cell>
          <cell r="B3" t="str">
            <v>zh453</v>
          </cell>
          <cell r="C3" t="str">
            <v>SH Ilgenhalde</v>
          </cell>
          <cell r="D3" t="str">
            <v>K</v>
          </cell>
          <cell r="E3">
            <v>509</v>
          </cell>
          <cell r="K3">
            <v>54</v>
          </cell>
        </row>
        <row r="4">
          <cell r="A4" t="str">
            <v>zh4532.2</v>
          </cell>
          <cell r="B4" t="str">
            <v>zh453</v>
          </cell>
          <cell r="C4" t="str">
            <v>SH Ilgenhalde</v>
          </cell>
          <cell r="D4">
            <v>2.2000000000000002</v>
          </cell>
          <cell r="E4">
            <v>278</v>
          </cell>
          <cell r="F4">
            <v>41</v>
          </cell>
          <cell r="G4">
            <v>18</v>
          </cell>
          <cell r="H4">
            <v>177</v>
          </cell>
          <cell r="I4">
            <v>200</v>
          </cell>
          <cell r="J4">
            <v>218</v>
          </cell>
          <cell r="K4">
            <v>10</v>
          </cell>
        </row>
        <row r="5">
          <cell r="A5" t="str">
            <v>zh4533.1</v>
          </cell>
          <cell r="B5" t="str">
            <v>zh453</v>
          </cell>
          <cell r="C5" t="str">
            <v>SH Ilgenhalde</v>
          </cell>
          <cell r="D5">
            <v>3.1</v>
          </cell>
          <cell r="E5">
            <v>559</v>
          </cell>
          <cell r="F5">
            <v>219</v>
          </cell>
          <cell r="G5">
            <v>189</v>
          </cell>
          <cell r="H5">
            <v>235</v>
          </cell>
          <cell r="I5">
            <v>265</v>
          </cell>
          <cell r="J5">
            <v>454</v>
          </cell>
          <cell r="K5">
            <v>44</v>
          </cell>
        </row>
        <row r="6">
          <cell r="A6" t="str">
            <v>zh451K</v>
          </cell>
          <cell r="B6" t="str">
            <v>zh451</v>
          </cell>
          <cell r="C6" t="str">
            <v>HPS St Michael</v>
          </cell>
          <cell r="D6" t="str">
            <v>K</v>
          </cell>
          <cell r="E6">
            <v>395</v>
          </cell>
          <cell r="K6">
            <v>40</v>
          </cell>
        </row>
        <row r="7">
          <cell r="A7" t="str">
            <v>zh4512.2</v>
          </cell>
          <cell r="B7" t="str">
            <v>zh451</v>
          </cell>
          <cell r="C7" t="str">
            <v>HPS St Michael</v>
          </cell>
          <cell r="D7">
            <v>2.2000000000000002</v>
          </cell>
          <cell r="E7">
            <v>255</v>
          </cell>
          <cell r="F7">
            <v>17</v>
          </cell>
          <cell r="G7">
            <v>0</v>
          </cell>
          <cell r="H7">
            <v>177</v>
          </cell>
          <cell r="I7">
            <v>200</v>
          </cell>
          <cell r="J7">
            <v>194</v>
          </cell>
          <cell r="K7">
            <v>10</v>
          </cell>
        </row>
        <row r="8">
          <cell r="A8" t="str">
            <v>zh4513.1</v>
          </cell>
          <cell r="B8" t="str">
            <v>zh451</v>
          </cell>
          <cell r="C8" t="str">
            <v>HPS St Michael</v>
          </cell>
          <cell r="D8">
            <v>3.1</v>
          </cell>
          <cell r="E8">
            <v>439</v>
          </cell>
          <cell r="F8">
            <v>100</v>
          </cell>
          <cell r="G8">
            <v>70</v>
          </cell>
          <cell r="H8">
            <v>235</v>
          </cell>
          <cell r="I8">
            <v>265</v>
          </cell>
          <cell r="J8">
            <v>335</v>
          </cell>
          <cell r="K8">
            <v>30</v>
          </cell>
        </row>
        <row r="9">
          <cell r="A9" t="str">
            <v>zh551K</v>
          </cell>
          <cell r="B9" t="str">
            <v>zh551</v>
          </cell>
          <cell r="C9" t="str">
            <v>Heimgarten Bülach</v>
          </cell>
          <cell r="D9" t="str">
            <v>K</v>
          </cell>
          <cell r="E9">
            <v>490</v>
          </cell>
          <cell r="K9">
            <v>32</v>
          </cell>
        </row>
        <row r="10">
          <cell r="A10" t="str">
            <v>zh5513.1</v>
          </cell>
          <cell r="B10" t="str">
            <v>zh551</v>
          </cell>
          <cell r="C10" t="str">
            <v>Heimgarten Bülach</v>
          </cell>
          <cell r="D10">
            <v>3.1</v>
          </cell>
          <cell r="E10">
            <v>490</v>
          </cell>
          <cell r="F10">
            <v>190</v>
          </cell>
          <cell r="G10">
            <v>160</v>
          </cell>
          <cell r="H10">
            <v>235</v>
          </cell>
          <cell r="I10">
            <v>265</v>
          </cell>
          <cell r="J10">
            <v>425</v>
          </cell>
          <cell r="K10">
            <v>32</v>
          </cell>
        </row>
        <row r="11">
          <cell r="A11" t="str">
            <v>zh461K</v>
          </cell>
          <cell r="B11" t="str">
            <v>zh461</v>
          </cell>
          <cell r="C11" t="str">
            <v>Mathilde Escher Heim</v>
          </cell>
          <cell r="D11" t="str">
            <v>K</v>
          </cell>
          <cell r="E11">
            <v>417</v>
          </cell>
          <cell r="K11">
            <v>20</v>
          </cell>
        </row>
        <row r="12">
          <cell r="A12" t="str">
            <v>zh4612.3</v>
          </cell>
          <cell r="B12" t="str">
            <v>zh461</v>
          </cell>
          <cell r="C12" t="str">
            <v>Mathilde Escher Heim</v>
          </cell>
          <cell r="D12">
            <v>2.2999999999999998</v>
          </cell>
          <cell r="E12">
            <v>300</v>
          </cell>
          <cell r="F12">
            <v>42</v>
          </cell>
          <cell r="G12">
            <v>19</v>
          </cell>
          <cell r="H12">
            <v>207</v>
          </cell>
          <cell r="I12">
            <v>230</v>
          </cell>
          <cell r="J12">
            <v>249</v>
          </cell>
          <cell r="K12">
            <v>14</v>
          </cell>
        </row>
        <row r="13">
          <cell r="A13" t="str">
            <v>zh4613.1</v>
          </cell>
          <cell r="B13" t="str">
            <v>zh461</v>
          </cell>
          <cell r="C13" t="str">
            <v>Mathilde Escher Heim</v>
          </cell>
          <cell r="D13">
            <v>3.1</v>
          </cell>
          <cell r="E13">
            <v>705</v>
          </cell>
          <cell r="F13">
            <v>422</v>
          </cell>
          <cell r="G13">
            <v>392</v>
          </cell>
          <cell r="H13">
            <v>235</v>
          </cell>
          <cell r="I13">
            <v>265</v>
          </cell>
          <cell r="J13">
            <v>657</v>
          </cell>
          <cell r="K13">
            <v>6</v>
          </cell>
        </row>
        <row r="14">
          <cell r="A14" t="str">
            <v>zh120K</v>
          </cell>
          <cell r="B14" t="str">
            <v>zh120</v>
          </cell>
          <cell r="C14" t="str">
            <v>Pestalozzihaus Räterschen</v>
          </cell>
          <cell r="D14" t="str">
            <v>K</v>
          </cell>
          <cell r="E14">
            <v>443</v>
          </cell>
          <cell r="K14">
            <v>26</v>
          </cell>
        </row>
        <row r="15">
          <cell r="A15" t="str">
            <v>zh1203.1</v>
          </cell>
          <cell r="B15" t="str">
            <v>zh120</v>
          </cell>
          <cell r="C15" t="str">
            <v>Pestalozzihaus Räterschen</v>
          </cell>
          <cell r="D15">
            <v>3.1</v>
          </cell>
          <cell r="E15">
            <v>459</v>
          </cell>
          <cell r="F15">
            <v>155</v>
          </cell>
          <cell r="G15">
            <v>125</v>
          </cell>
          <cell r="H15">
            <v>235</v>
          </cell>
          <cell r="I15">
            <v>265</v>
          </cell>
          <cell r="J15">
            <v>390</v>
          </cell>
          <cell r="K15">
            <v>21</v>
          </cell>
        </row>
        <row r="16">
          <cell r="A16" t="str">
            <v>zh1203.2</v>
          </cell>
          <cell r="B16" t="str">
            <v>zh120</v>
          </cell>
          <cell r="C16" t="str">
            <v>Pestalozzihaus Räterschen</v>
          </cell>
          <cell r="D16">
            <v>3.2</v>
          </cell>
          <cell r="E16">
            <v>450</v>
          </cell>
          <cell r="F16">
            <v>0</v>
          </cell>
          <cell r="G16">
            <v>88</v>
          </cell>
          <cell r="H16">
            <v>0</v>
          </cell>
          <cell r="I16">
            <v>310</v>
          </cell>
          <cell r="J16">
            <v>398</v>
          </cell>
          <cell r="K16">
            <v>1</v>
          </cell>
        </row>
        <row r="17">
          <cell r="A17" t="str">
            <v>zh1204.1</v>
          </cell>
          <cell r="B17" t="str">
            <v>zh120</v>
          </cell>
          <cell r="C17" t="str">
            <v>Pestalozzihaus Räterschen</v>
          </cell>
          <cell r="D17">
            <v>4.0999999999999996</v>
          </cell>
          <cell r="E17">
            <v>357</v>
          </cell>
          <cell r="F17">
            <v>72</v>
          </cell>
          <cell r="G17">
            <v>42</v>
          </cell>
          <cell r="H17">
            <v>200</v>
          </cell>
          <cell r="I17">
            <v>230</v>
          </cell>
          <cell r="J17">
            <v>272</v>
          </cell>
          <cell r="K17">
            <v>4</v>
          </cell>
        </row>
        <row r="18">
          <cell r="A18" t="str">
            <v>zh458K</v>
          </cell>
          <cell r="B18" t="str">
            <v>zh458</v>
          </cell>
          <cell r="C18" t="str">
            <v>Pestalozziheim Buechweid</v>
          </cell>
          <cell r="D18" t="str">
            <v>K</v>
          </cell>
          <cell r="E18">
            <v>368</v>
          </cell>
          <cell r="K18">
            <v>74</v>
          </cell>
        </row>
        <row r="19">
          <cell r="A19" t="str">
            <v>zh4583.1</v>
          </cell>
          <cell r="B19" t="str">
            <v>zh458</v>
          </cell>
          <cell r="C19" t="str">
            <v>Pestalozziheim Buechweid</v>
          </cell>
          <cell r="D19">
            <v>3.1</v>
          </cell>
          <cell r="E19">
            <v>387</v>
          </cell>
          <cell r="F19">
            <v>78</v>
          </cell>
          <cell r="G19">
            <v>48</v>
          </cell>
          <cell r="H19">
            <v>235</v>
          </cell>
          <cell r="I19">
            <v>265</v>
          </cell>
          <cell r="J19">
            <v>313</v>
          </cell>
          <cell r="K19">
            <v>68</v>
          </cell>
        </row>
        <row r="20">
          <cell r="A20" t="str">
            <v>zh4583.2</v>
          </cell>
          <cell r="B20" t="str">
            <v>zh458</v>
          </cell>
          <cell r="C20" t="str">
            <v>Pestalozziheim Buechweid</v>
          </cell>
          <cell r="D20">
            <v>3.2</v>
          </cell>
          <cell r="E20">
            <v>148</v>
          </cell>
          <cell r="F20">
            <v>0</v>
          </cell>
          <cell r="G20">
            <v>0</v>
          </cell>
          <cell r="H20">
            <v>0</v>
          </cell>
          <cell r="I20">
            <v>310</v>
          </cell>
          <cell r="J20">
            <v>148</v>
          </cell>
          <cell r="K20">
            <v>6</v>
          </cell>
        </row>
        <row r="21">
          <cell r="A21" t="str">
            <v>zh552K</v>
          </cell>
          <cell r="B21" t="str">
            <v>zh552</v>
          </cell>
          <cell r="C21" t="str">
            <v>Ringlikon ZKJ</v>
          </cell>
          <cell r="D21" t="str">
            <v>K</v>
          </cell>
          <cell r="E21">
            <v>477</v>
          </cell>
          <cell r="K21">
            <v>36</v>
          </cell>
        </row>
        <row r="22">
          <cell r="A22" t="str">
            <v>zh5522.3</v>
          </cell>
          <cell r="B22" t="str">
            <v>zh552</v>
          </cell>
          <cell r="C22" t="str">
            <v>Ringlikon ZKJ</v>
          </cell>
          <cell r="D22">
            <v>2.2999999999999998</v>
          </cell>
          <cell r="E22">
            <v>262</v>
          </cell>
          <cell r="F22">
            <v>17</v>
          </cell>
          <cell r="G22">
            <v>0</v>
          </cell>
          <cell r="H22">
            <v>207</v>
          </cell>
          <cell r="I22">
            <v>230</v>
          </cell>
          <cell r="J22">
            <v>224</v>
          </cell>
          <cell r="K22">
            <v>8</v>
          </cell>
        </row>
        <row r="23">
          <cell r="A23" t="str">
            <v>zh5523.1</v>
          </cell>
          <cell r="B23" t="str">
            <v>zh552</v>
          </cell>
          <cell r="C23" t="str">
            <v>Ringlikon ZKJ</v>
          </cell>
          <cell r="D23">
            <v>3.1</v>
          </cell>
          <cell r="E23">
            <v>538</v>
          </cell>
          <cell r="F23">
            <v>224</v>
          </cell>
          <cell r="G23">
            <v>194</v>
          </cell>
          <cell r="H23">
            <v>235</v>
          </cell>
          <cell r="I23">
            <v>265</v>
          </cell>
          <cell r="J23">
            <v>459</v>
          </cell>
          <cell r="K23">
            <v>28</v>
          </cell>
        </row>
        <row r="24">
          <cell r="A24" t="str">
            <v>zh106K</v>
          </cell>
          <cell r="B24" t="str">
            <v>zh106</v>
          </cell>
          <cell r="C24" t="str">
            <v>SH Elgg</v>
          </cell>
          <cell r="D24" t="str">
            <v>K</v>
          </cell>
          <cell r="E24">
            <v>407</v>
          </cell>
          <cell r="K24">
            <v>43</v>
          </cell>
        </row>
        <row r="25">
          <cell r="A25" t="str">
            <v>zh1063.1</v>
          </cell>
          <cell r="B25" t="str">
            <v>zh106</v>
          </cell>
          <cell r="C25" t="str">
            <v>SH Elgg</v>
          </cell>
          <cell r="D25">
            <v>3.1</v>
          </cell>
          <cell r="E25">
            <v>457</v>
          </cell>
          <cell r="F25">
            <v>130</v>
          </cell>
          <cell r="G25">
            <v>100</v>
          </cell>
          <cell r="H25">
            <v>235</v>
          </cell>
          <cell r="I25">
            <v>265</v>
          </cell>
          <cell r="J25">
            <v>365</v>
          </cell>
          <cell r="K25">
            <v>32</v>
          </cell>
        </row>
        <row r="26">
          <cell r="A26" t="str">
            <v>zh1064.1</v>
          </cell>
          <cell r="B26" t="str">
            <v>zh106</v>
          </cell>
          <cell r="C26" t="str">
            <v>SH Elgg</v>
          </cell>
          <cell r="D26">
            <v>4.0999999999999996</v>
          </cell>
          <cell r="E26">
            <v>331</v>
          </cell>
          <cell r="F26">
            <v>88</v>
          </cell>
          <cell r="G26">
            <v>58</v>
          </cell>
          <cell r="H26">
            <v>200</v>
          </cell>
          <cell r="I26">
            <v>230</v>
          </cell>
          <cell r="J26">
            <v>288</v>
          </cell>
          <cell r="K26">
            <v>8</v>
          </cell>
        </row>
        <row r="27">
          <cell r="A27" t="str">
            <v>zh1064.3</v>
          </cell>
          <cell r="B27" t="str">
            <v>zh106</v>
          </cell>
          <cell r="C27" t="str">
            <v>SH Elgg</v>
          </cell>
          <cell r="D27">
            <v>4.3</v>
          </cell>
          <cell r="E27">
            <v>79</v>
          </cell>
          <cell r="F27">
            <v>0</v>
          </cell>
          <cell r="G27">
            <v>0</v>
          </cell>
          <cell r="H27">
            <v>155</v>
          </cell>
          <cell r="I27">
            <v>185</v>
          </cell>
          <cell r="J27">
            <v>79</v>
          </cell>
          <cell r="K27">
            <v>3</v>
          </cell>
        </row>
        <row r="28">
          <cell r="A28" t="str">
            <v>zh112K</v>
          </cell>
          <cell r="B28" t="str">
            <v>zh112</v>
          </cell>
          <cell r="C28" t="str">
            <v>Albisbrunn</v>
          </cell>
          <cell r="D28" t="str">
            <v>K</v>
          </cell>
          <cell r="E28">
            <v>617</v>
          </cell>
          <cell r="K28">
            <v>56</v>
          </cell>
        </row>
        <row r="29">
          <cell r="A29" t="str">
            <v>zh1123.1</v>
          </cell>
          <cell r="B29" t="str">
            <v>zh112</v>
          </cell>
          <cell r="C29" t="str">
            <v>Albisbrunn</v>
          </cell>
          <cell r="D29">
            <v>3.1</v>
          </cell>
          <cell r="E29">
            <v>596</v>
          </cell>
          <cell r="F29">
            <v>246</v>
          </cell>
          <cell r="G29">
            <v>216</v>
          </cell>
          <cell r="H29">
            <v>235</v>
          </cell>
          <cell r="I29">
            <v>265</v>
          </cell>
          <cell r="J29">
            <v>481</v>
          </cell>
          <cell r="K29">
            <v>24</v>
          </cell>
        </row>
        <row r="30">
          <cell r="A30" t="str">
            <v>zh1123.2</v>
          </cell>
          <cell r="B30" t="str">
            <v>zh112</v>
          </cell>
          <cell r="C30" t="str">
            <v>Albisbrunn</v>
          </cell>
          <cell r="D30">
            <v>3.2</v>
          </cell>
          <cell r="E30">
            <v>633</v>
          </cell>
          <cell r="F30">
            <v>0</v>
          </cell>
          <cell r="G30">
            <v>201</v>
          </cell>
          <cell r="H30">
            <v>0</v>
          </cell>
          <cell r="I30">
            <v>310</v>
          </cell>
          <cell r="J30">
            <v>511</v>
          </cell>
          <cell r="K30">
            <v>32</v>
          </cell>
        </row>
        <row r="31">
          <cell r="A31" t="str">
            <v>zh464K</v>
          </cell>
          <cell r="B31" t="str">
            <v>zh464</v>
          </cell>
          <cell r="C31" t="str">
            <v>Sprachheilschule Zürich</v>
          </cell>
          <cell r="D31" t="str">
            <v>K</v>
          </cell>
          <cell r="E31">
            <v>412</v>
          </cell>
          <cell r="K31">
            <v>30</v>
          </cell>
        </row>
        <row r="32">
          <cell r="A32" t="str">
            <v>zh4642.3</v>
          </cell>
          <cell r="B32" t="str">
            <v>zh464</v>
          </cell>
          <cell r="C32" t="str">
            <v>Sprachheilschule Zürich</v>
          </cell>
          <cell r="D32">
            <v>2.2999999999999998</v>
          </cell>
          <cell r="E32">
            <v>412</v>
          </cell>
          <cell r="F32">
            <v>109</v>
          </cell>
          <cell r="G32">
            <v>86</v>
          </cell>
          <cell r="H32">
            <v>207</v>
          </cell>
          <cell r="I32">
            <v>230</v>
          </cell>
          <cell r="J32">
            <v>316</v>
          </cell>
          <cell r="K32">
            <v>30</v>
          </cell>
        </row>
        <row r="33">
          <cell r="A33" t="str">
            <v>zh105K</v>
          </cell>
          <cell r="B33" t="str">
            <v>zh105</v>
          </cell>
          <cell r="C33" t="str">
            <v>SH Friedheim</v>
          </cell>
          <cell r="D33" t="str">
            <v>K</v>
          </cell>
          <cell r="E33">
            <v>466</v>
          </cell>
          <cell r="K33">
            <v>24</v>
          </cell>
        </row>
        <row r="34">
          <cell r="A34" t="str">
            <v>zh1053.1</v>
          </cell>
          <cell r="B34" t="str">
            <v>zh105</v>
          </cell>
          <cell r="C34" t="str">
            <v>SH Friedheim</v>
          </cell>
          <cell r="D34">
            <v>3.1</v>
          </cell>
          <cell r="E34">
            <v>466</v>
          </cell>
          <cell r="F34">
            <v>231</v>
          </cell>
          <cell r="G34">
            <v>201</v>
          </cell>
          <cell r="H34">
            <v>235</v>
          </cell>
          <cell r="I34">
            <v>265</v>
          </cell>
          <cell r="J34">
            <v>466</v>
          </cell>
          <cell r="K34">
            <v>24</v>
          </cell>
        </row>
        <row r="35">
          <cell r="A35" t="str">
            <v>zh462K</v>
          </cell>
          <cell r="B35" t="str">
            <v>zh462</v>
          </cell>
          <cell r="C35" t="str">
            <v>SH Tanne</v>
          </cell>
          <cell r="D35" t="str">
            <v>K</v>
          </cell>
          <cell r="E35">
            <v>644</v>
          </cell>
          <cell r="K35">
            <v>20</v>
          </cell>
        </row>
        <row r="36">
          <cell r="A36" t="str">
            <v>zh4622.2</v>
          </cell>
          <cell r="B36" t="str">
            <v>zh462</v>
          </cell>
          <cell r="C36" t="str">
            <v>SH Tanne</v>
          </cell>
          <cell r="D36">
            <v>2.2000000000000002</v>
          </cell>
          <cell r="E36">
            <v>353</v>
          </cell>
          <cell r="F36">
            <v>102</v>
          </cell>
          <cell r="G36">
            <v>79</v>
          </cell>
          <cell r="H36">
            <v>177</v>
          </cell>
          <cell r="I36">
            <v>200</v>
          </cell>
          <cell r="J36">
            <v>279</v>
          </cell>
          <cell r="K36">
            <v>5</v>
          </cell>
        </row>
        <row r="37">
          <cell r="A37" t="str">
            <v>zh4623.1</v>
          </cell>
          <cell r="B37" t="str">
            <v>zh462</v>
          </cell>
          <cell r="C37" t="str">
            <v>SH Tanne</v>
          </cell>
          <cell r="D37">
            <v>3.1</v>
          </cell>
          <cell r="E37">
            <v>736</v>
          </cell>
          <cell r="F37">
            <v>361</v>
          </cell>
          <cell r="G37">
            <v>331</v>
          </cell>
          <cell r="H37">
            <v>235</v>
          </cell>
          <cell r="I37">
            <v>265</v>
          </cell>
          <cell r="J37">
            <v>596</v>
          </cell>
          <cell r="K37">
            <v>15</v>
          </cell>
        </row>
        <row r="38">
          <cell r="A38" t="str">
            <v>zh463K</v>
          </cell>
          <cell r="B38" t="str">
            <v>zh463</v>
          </cell>
          <cell r="C38" t="str">
            <v>Sprachheilschule Stäfa</v>
          </cell>
          <cell r="D38" t="str">
            <v>K</v>
          </cell>
          <cell r="E38">
            <v>339</v>
          </cell>
          <cell r="K38">
            <v>44</v>
          </cell>
        </row>
        <row r="39">
          <cell r="A39" t="str">
            <v>zh4632.2</v>
          </cell>
          <cell r="B39" t="str">
            <v>zh463</v>
          </cell>
          <cell r="C39" t="str">
            <v>Sprachheilschule Stäfa</v>
          </cell>
          <cell r="D39">
            <v>2.2000000000000002</v>
          </cell>
          <cell r="E39">
            <v>254</v>
          </cell>
          <cell r="F39">
            <v>52</v>
          </cell>
          <cell r="G39">
            <v>29</v>
          </cell>
          <cell r="H39">
            <v>177</v>
          </cell>
          <cell r="I39">
            <v>200</v>
          </cell>
          <cell r="J39">
            <v>213</v>
          </cell>
          <cell r="K39">
            <v>20</v>
          </cell>
        </row>
        <row r="40">
          <cell r="A40" t="str">
            <v>zh4632.3</v>
          </cell>
          <cell r="B40" t="str">
            <v>zh463</v>
          </cell>
          <cell r="C40" t="str">
            <v>Sprachheilschule Stäfa</v>
          </cell>
          <cell r="D40">
            <v>2.2999999999999998</v>
          </cell>
          <cell r="E40">
            <v>347</v>
          </cell>
          <cell r="F40">
            <v>67</v>
          </cell>
          <cell r="G40">
            <v>44</v>
          </cell>
          <cell r="H40">
            <v>207</v>
          </cell>
          <cell r="I40">
            <v>230</v>
          </cell>
          <cell r="J40">
            <v>289</v>
          </cell>
          <cell r="K40">
            <v>14</v>
          </cell>
        </row>
        <row r="41">
          <cell r="A41" t="str">
            <v>zh4633.1</v>
          </cell>
          <cell r="B41" t="str">
            <v>zh463</v>
          </cell>
          <cell r="C41" t="str">
            <v>Sprachheilschule Stäfa</v>
          </cell>
          <cell r="D41">
            <v>3.1</v>
          </cell>
          <cell r="E41">
            <v>490</v>
          </cell>
          <cell r="F41">
            <v>121</v>
          </cell>
          <cell r="G41">
            <v>91</v>
          </cell>
          <cell r="H41">
            <v>235</v>
          </cell>
          <cell r="I41">
            <v>265</v>
          </cell>
          <cell r="J41">
            <v>367</v>
          </cell>
          <cell r="K41">
            <v>10</v>
          </cell>
        </row>
        <row r="42">
          <cell r="A42" t="str">
            <v>zh460K</v>
          </cell>
          <cell r="B42" t="str">
            <v>zh460</v>
          </cell>
          <cell r="C42" t="str">
            <v>KH Bühl</v>
          </cell>
          <cell r="D42" t="str">
            <v>K</v>
          </cell>
          <cell r="E42">
            <v>340</v>
          </cell>
          <cell r="K42">
            <v>129</v>
          </cell>
        </row>
        <row r="43">
          <cell r="A43" t="str">
            <v>zh4602.1</v>
          </cell>
          <cell r="B43" t="str">
            <v>zh460</v>
          </cell>
          <cell r="C43" t="str">
            <v>KH Bühl</v>
          </cell>
          <cell r="D43">
            <v>2.1</v>
          </cell>
          <cell r="E43">
            <v>254</v>
          </cell>
          <cell r="F43">
            <v>0</v>
          </cell>
          <cell r="G43">
            <v>0</v>
          </cell>
          <cell r="H43">
            <v>0</v>
          </cell>
          <cell r="I43">
            <v>260</v>
          </cell>
          <cell r="J43">
            <v>254</v>
          </cell>
          <cell r="K43">
            <v>12</v>
          </cell>
        </row>
        <row r="44">
          <cell r="A44" t="str">
            <v>zh4602.2</v>
          </cell>
          <cell r="B44" t="str">
            <v>zh460</v>
          </cell>
          <cell r="C44" t="str">
            <v>KH Bühl</v>
          </cell>
          <cell r="D44">
            <v>2.2000000000000002</v>
          </cell>
          <cell r="E44">
            <v>173</v>
          </cell>
          <cell r="F44">
            <v>0</v>
          </cell>
          <cell r="G44">
            <v>0</v>
          </cell>
          <cell r="H44">
            <v>177</v>
          </cell>
          <cell r="I44">
            <v>200</v>
          </cell>
          <cell r="J44">
            <v>81</v>
          </cell>
          <cell r="K44">
            <v>36</v>
          </cell>
        </row>
        <row r="45">
          <cell r="B45" t="str">
            <v>zh460</v>
          </cell>
          <cell r="C45" t="str">
            <v>KH Bühl</v>
          </cell>
          <cell r="D45">
            <v>2.4</v>
          </cell>
          <cell r="E45">
            <v>127</v>
          </cell>
          <cell r="F45">
            <v>0</v>
          </cell>
          <cell r="G45">
            <v>0</v>
          </cell>
          <cell r="H45">
            <v>207</v>
          </cell>
          <cell r="I45">
            <v>230</v>
          </cell>
          <cell r="J45">
            <v>127</v>
          </cell>
          <cell r="K45">
            <v>6</v>
          </cell>
        </row>
        <row r="46">
          <cell r="A46" t="str">
            <v>zh4603.1</v>
          </cell>
          <cell r="B46" t="str">
            <v>zh460</v>
          </cell>
          <cell r="C46" t="str">
            <v>KH Bühl</v>
          </cell>
          <cell r="D46">
            <v>3.1</v>
          </cell>
          <cell r="E46">
            <v>441</v>
          </cell>
          <cell r="F46">
            <v>106</v>
          </cell>
          <cell r="G46">
            <v>76</v>
          </cell>
          <cell r="H46">
            <v>235</v>
          </cell>
          <cell r="I46">
            <v>265</v>
          </cell>
          <cell r="J46">
            <v>341</v>
          </cell>
          <cell r="K46">
            <v>47</v>
          </cell>
        </row>
        <row r="47">
          <cell r="A47" t="str">
            <v>zh4603.2</v>
          </cell>
          <cell r="B47" t="str">
            <v>zh460</v>
          </cell>
          <cell r="C47" t="str">
            <v>KH Bühl</v>
          </cell>
          <cell r="D47">
            <v>3.2</v>
          </cell>
          <cell r="E47">
            <v>460</v>
          </cell>
          <cell r="F47">
            <v>0</v>
          </cell>
          <cell r="G47">
            <v>150</v>
          </cell>
          <cell r="H47">
            <v>0</v>
          </cell>
          <cell r="I47">
            <v>310</v>
          </cell>
          <cell r="J47">
            <v>460</v>
          </cell>
          <cell r="K47">
            <v>28</v>
          </cell>
        </row>
        <row r="48">
          <cell r="A48" t="str">
            <v>zh457K</v>
          </cell>
          <cell r="B48" t="str">
            <v>zh457</v>
          </cell>
          <cell r="C48" t="str">
            <v>Schloss Regensberg</v>
          </cell>
          <cell r="D48" t="str">
            <v>K</v>
          </cell>
          <cell r="E48">
            <v>472</v>
          </cell>
          <cell r="K48">
            <v>62</v>
          </cell>
        </row>
        <row r="49">
          <cell r="A49" t="str">
            <v>zh4573.1</v>
          </cell>
          <cell r="B49" t="str">
            <v>zh457</v>
          </cell>
          <cell r="C49" t="str">
            <v>Schloss Regensberg</v>
          </cell>
          <cell r="D49">
            <v>3.1</v>
          </cell>
          <cell r="E49">
            <v>479</v>
          </cell>
          <cell r="F49">
            <v>180</v>
          </cell>
          <cell r="G49">
            <v>150</v>
          </cell>
          <cell r="H49">
            <v>235</v>
          </cell>
          <cell r="I49">
            <v>265</v>
          </cell>
          <cell r="J49">
            <v>415</v>
          </cell>
          <cell r="K49">
            <v>42</v>
          </cell>
        </row>
        <row r="50">
          <cell r="A50" t="str">
            <v>zh4573.2</v>
          </cell>
          <cell r="B50" t="str">
            <v>zh457</v>
          </cell>
          <cell r="C50" t="str">
            <v>Schloss Regensberg</v>
          </cell>
          <cell r="D50">
            <v>3.2</v>
          </cell>
          <cell r="E50">
            <v>457</v>
          </cell>
          <cell r="F50">
            <v>0</v>
          </cell>
          <cell r="G50">
            <v>105</v>
          </cell>
          <cell r="H50">
            <v>0</v>
          </cell>
          <cell r="I50">
            <v>310</v>
          </cell>
          <cell r="J50">
            <v>415</v>
          </cell>
          <cell r="K50">
            <v>20</v>
          </cell>
        </row>
        <row r="51">
          <cell r="A51" t="str">
            <v>zh452K</v>
          </cell>
          <cell r="B51" t="str">
            <v>zh452</v>
          </cell>
          <cell r="C51" t="str">
            <v>SH Dielsdorf</v>
          </cell>
          <cell r="D51" t="str">
            <v>K</v>
          </cell>
          <cell r="E51">
            <v>412</v>
          </cell>
          <cell r="K51">
            <v>43</v>
          </cell>
        </row>
        <row r="52">
          <cell r="A52" t="str">
            <v>zh4522.2</v>
          </cell>
          <cell r="B52" t="str">
            <v>zh452</v>
          </cell>
          <cell r="C52" t="str">
            <v>SH Dielsdorf</v>
          </cell>
          <cell r="D52">
            <v>2.2000000000000002</v>
          </cell>
          <cell r="E52">
            <v>283</v>
          </cell>
          <cell r="F52">
            <v>56</v>
          </cell>
          <cell r="G52">
            <v>33</v>
          </cell>
          <cell r="H52">
            <v>177</v>
          </cell>
          <cell r="I52">
            <v>200</v>
          </cell>
          <cell r="J52">
            <v>233</v>
          </cell>
          <cell r="K52">
            <v>25</v>
          </cell>
        </row>
        <row r="53">
          <cell r="A53" t="str">
            <v>zh4523.1</v>
          </cell>
          <cell r="B53" t="str">
            <v>zh452</v>
          </cell>
          <cell r="C53" t="str">
            <v>SH Dielsdorf</v>
          </cell>
          <cell r="D53">
            <v>3.1</v>
          </cell>
          <cell r="E53">
            <v>582</v>
          </cell>
          <cell r="F53">
            <v>193</v>
          </cell>
          <cell r="G53">
            <v>163</v>
          </cell>
          <cell r="H53">
            <v>235</v>
          </cell>
          <cell r="I53">
            <v>265</v>
          </cell>
          <cell r="J53">
            <v>428</v>
          </cell>
          <cell r="K53">
            <v>18</v>
          </cell>
        </row>
        <row r="54">
          <cell r="A54" t="str">
            <v>zh308K</v>
          </cell>
          <cell r="B54" t="str">
            <v>zh308</v>
          </cell>
          <cell r="C54" t="str">
            <v>Villa RA ZKJ</v>
          </cell>
          <cell r="D54" t="str">
            <v>K</v>
          </cell>
          <cell r="E54">
            <v>424</v>
          </cell>
          <cell r="K54">
            <v>80</v>
          </cell>
        </row>
        <row r="55">
          <cell r="A55" t="str">
            <v>zh3082.2</v>
          </cell>
          <cell r="B55" t="str">
            <v>zh308</v>
          </cell>
          <cell r="C55" t="str">
            <v>Villa RA ZKJ</v>
          </cell>
          <cell r="D55">
            <v>2.2000000000000002</v>
          </cell>
          <cell r="E55">
            <v>247</v>
          </cell>
          <cell r="F55">
            <v>33</v>
          </cell>
          <cell r="G55">
            <v>10</v>
          </cell>
          <cell r="H55">
            <v>177</v>
          </cell>
          <cell r="I55">
            <v>200</v>
          </cell>
          <cell r="J55">
            <v>210</v>
          </cell>
          <cell r="K55">
            <v>24</v>
          </cell>
        </row>
        <row r="56">
          <cell r="A56" t="str">
            <v>zh3083.1</v>
          </cell>
          <cell r="B56" t="str">
            <v>zh308</v>
          </cell>
          <cell r="C56" t="str">
            <v>Villa RA ZKJ</v>
          </cell>
          <cell r="D56">
            <v>3.1</v>
          </cell>
          <cell r="E56">
            <v>500</v>
          </cell>
          <cell r="F56">
            <v>193</v>
          </cell>
          <cell r="G56">
            <v>163</v>
          </cell>
          <cell r="H56">
            <v>235</v>
          </cell>
          <cell r="I56">
            <v>265</v>
          </cell>
          <cell r="J56">
            <v>428</v>
          </cell>
          <cell r="K56">
            <v>56</v>
          </cell>
        </row>
        <row r="57">
          <cell r="A57" t="str">
            <v>zh124K</v>
          </cell>
          <cell r="B57" t="str">
            <v>zh124</v>
          </cell>
          <cell r="C57" t="str">
            <v>WS Grundhof</v>
          </cell>
          <cell r="D57" t="str">
            <v>K</v>
          </cell>
          <cell r="E57">
            <v>434</v>
          </cell>
          <cell r="K57">
            <v>8</v>
          </cell>
        </row>
        <row r="58">
          <cell r="A58" t="str">
            <v>zh1243.1</v>
          </cell>
          <cell r="B58" t="str">
            <v>zh124</v>
          </cell>
          <cell r="C58" t="str">
            <v>WS Grundhof</v>
          </cell>
          <cell r="D58">
            <v>3.1</v>
          </cell>
          <cell r="E58">
            <v>434</v>
          </cell>
          <cell r="F58">
            <v>110</v>
          </cell>
          <cell r="G58">
            <v>80</v>
          </cell>
          <cell r="H58">
            <v>235</v>
          </cell>
          <cell r="I58">
            <v>265</v>
          </cell>
          <cell r="J58">
            <v>345</v>
          </cell>
          <cell r="K58">
            <v>8</v>
          </cell>
        </row>
        <row r="59">
          <cell r="A59" t="str">
            <v>zh109K</v>
          </cell>
          <cell r="B59" t="str">
            <v>zh109</v>
          </cell>
          <cell r="C59" t="str">
            <v>WS Freienstein</v>
          </cell>
          <cell r="D59" t="str">
            <v>K</v>
          </cell>
          <cell r="E59">
            <v>415</v>
          </cell>
          <cell r="K59">
            <v>36</v>
          </cell>
        </row>
        <row r="60">
          <cell r="A60" t="str">
            <v>zh1093.1</v>
          </cell>
          <cell r="B60" t="str">
            <v>zh109</v>
          </cell>
          <cell r="C60" t="str">
            <v>WS Freienstein</v>
          </cell>
          <cell r="D60">
            <v>3.1</v>
          </cell>
          <cell r="E60">
            <v>424</v>
          </cell>
          <cell r="F60">
            <v>120</v>
          </cell>
          <cell r="G60">
            <v>90</v>
          </cell>
          <cell r="H60">
            <v>235</v>
          </cell>
          <cell r="I60">
            <v>265</v>
          </cell>
          <cell r="J60">
            <v>355</v>
          </cell>
          <cell r="K60">
            <v>33</v>
          </cell>
        </row>
        <row r="61">
          <cell r="A61" t="str">
            <v>zh1094.1</v>
          </cell>
          <cell r="B61" t="str">
            <v>zh109</v>
          </cell>
          <cell r="C61" t="str">
            <v>WS Freienstein</v>
          </cell>
          <cell r="D61">
            <v>4.0999999999999996</v>
          </cell>
          <cell r="E61">
            <v>320</v>
          </cell>
          <cell r="F61">
            <v>68</v>
          </cell>
          <cell r="G61">
            <v>38</v>
          </cell>
          <cell r="H61">
            <v>200</v>
          </cell>
          <cell r="I61">
            <v>230</v>
          </cell>
          <cell r="J61">
            <v>268</v>
          </cell>
          <cell r="K61">
            <v>3</v>
          </cell>
        </row>
        <row r="62">
          <cell r="A62" t="str">
            <v>zh115K</v>
          </cell>
          <cell r="B62" t="str">
            <v>zh115</v>
          </cell>
          <cell r="C62" t="str">
            <v>Pestalozzistiftung Knonau</v>
          </cell>
          <cell r="D62" t="str">
            <v>K</v>
          </cell>
          <cell r="E62">
            <v>395</v>
          </cell>
          <cell r="K62">
            <v>24</v>
          </cell>
        </row>
        <row r="63">
          <cell r="A63" t="str">
            <v>zh1153.1</v>
          </cell>
          <cell r="B63" t="str">
            <v>zh115</v>
          </cell>
          <cell r="C63" t="str">
            <v>Pestalozzistiftung Knonau</v>
          </cell>
          <cell r="D63">
            <v>3.1</v>
          </cell>
          <cell r="E63">
            <v>395</v>
          </cell>
          <cell r="F63">
            <v>124</v>
          </cell>
          <cell r="G63">
            <v>94</v>
          </cell>
          <cell r="H63">
            <v>235</v>
          </cell>
          <cell r="I63">
            <v>265</v>
          </cell>
          <cell r="J63">
            <v>359</v>
          </cell>
          <cell r="K63">
            <v>24</v>
          </cell>
        </row>
        <row r="64">
          <cell r="A64" t="str">
            <v>K</v>
          </cell>
          <cell r="C64" t="str">
            <v>Rivapiana Minusio ZKJ</v>
          </cell>
          <cell r="D64" t="str">
            <v>K</v>
          </cell>
          <cell r="E64">
            <v>455</v>
          </cell>
          <cell r="K64">
            <v>16</v>
          </cell>
        </row>
        <row r="65">
          <cell r="A65" t="str">
            <v>3.1</v>
          </cell>
          <cell r="C65" t="str">
            <v>Rivapiana Minusio ZKJ</v>
          </cell>
          <cell r="D65">
            <v>3.1</v>
          </cell>
          <cell r="E65">
            <v>455</v>
          </cell>
          <cell r="F65">
            <v>220</v>
          </cell>
          <cell r="G65">
            <v>190</v>
          </cell>
          <cell r="H65">
            <v>235</v>
          </cell>
          <cell r="I65">
            <v>265</v>
          </cell>
          <cell r="J65">
            <v>455</v>
          </cell>
          <cell r="K65">
            <v>16</v>
          </cell>
        </row>
        <row r="66">
          <cell r="A66" t="str">
            <v>5.2</v>
          </cell>
          <cell r="C66" t="str">
            <v>Rivapiana Minusio ZKJ</v>
          </cell>
          <cell r="D66">
            <v>5.2</v>
          </cell>
          <cell r="E66" t="str">
            <v>.</v>
          </cell>
        </row>
      </sheetData>
      <sheetData sheetId="2">
        <row r="3">
          <cell r="A3" t="str">
            <v>zh4532.2</v>
          </cell>
          <cell r="B3" t="str">
            <v>zh453</v>
          </cell>
          <cell r="C3" t="str">
            <v>SH Ilgenhalde</v>
          </cell>
          <cell r="D3">
            <v>2.2000000000000002</v>
          </cell>
          <cell r="E3">
            <v>1980</v>
          </cell>
          <cell r="F3">
            <v>180</v>
          </cell>
          <cell r="G3">
            <v>121900</v>
          </cell>
        </row>
        <row r="4">
          <cell r="A4" t="str">
            <v>zh4533.1</v>
          </cell>
          <cell r="B4" t="str">
            <v>zh453</v>
          </cell>
          <cell r="C4" t="str">
            <v>SH Ilgenhalde</v>
          </cell>
          <cell r="D4">
            <v>3.1</v>
          </cell>
          <cell r="E4">
            <v>7380</v>
          </cell>
          <cell r="F4">
            <v>180</v>
          </cell>
          <cell r="G4">
            <v>620000</v>
          </cell>
        </row>
        <row r="5">
          <cell r="A5" t="str">
            <v>zh4512.2</v>
          </cell>
          <cell r="B5" t="str">
            <v>zh451</v>
          </cell>
          <cell r="C5" t="str">
            <v>HPS St Michael</v>
          </cell>
          <cell r="D5">
            <v>2.2000000000000002</v>
          </cell>
          <cell r="E5">
            <v>360</v>
          </cell>
          <cell r="F5">
            <v>0</v>
          </cell>
        </row>
        <row r="6">
          <cell r="A6" t="str">
            <v>zh4513.1</v>
          </cell>
          <cell r="B6" t="str">
            <v>zh451</v>
          </cell>
          <cell r="C6" t="str">
            <v>HPS St Michael</v>
          </cell>
          <cell r="D6">
            <v>3.1</v>
          </cell>
          <cell r="E6">
            <v>360</v>
          </cell>
          <cell r="F6">
            <v>0</v>
          </cell>
        </row>
        <row r="7">
          <cell r="A7" t="str">
            <v>zh5513.1</v>
          </cell>
          <cell r="B7" t="str">
            <v>zh551</v>
          </cell>
          <cell r="C7" t="str">
            <v>Heimgarten Bülach</v>
          </cell>
          <cell r="D7">
            <v>3.1</v>
          </cell>
        </row>
        <row r="8">
          <cell r="A8" t="str">
            <v>zh4612.3</v>
          </cell>
          <cell r="B8" t="str">
            <v>zh461</v>
          </cell>
          <cell r="C8" t="str">
            <v>Mathilde Escher Heim</v>
          </cell>
          <cell r="D8">
            <v>2.2999999999999998</v>
          </cell>
          <cell r="E8">
            <v>1643</v>
          </cell>
          <cell r="F8">
            <v>110</v>
          </cell>
          <cell r="G8">
            <v>43481</v>
          </cell>
        </row>
        <row r="9">
          <cell r="A9" t="str">
            <v>zh4613.1</v>
          </cell>
          <cell r="B9" t="str">
            <v>zh461</v>
          </cell>
          <cell r="C9" t="str">
            <v>Mathilde Escher Heim</v>
          </cell>
          <cell r="D9">
            <v>3.1</v>
          </cell>
        </row>
        <row r="10">
          <cell r="A10" t="str">
            <v>zh1203.1</v>
          </cell>
          <cell r="B10" t="str">
            <v>zh120</v>
          </cell>
          <cell r="C10" t="str">
            <v>Pestalozzihaus Räterschen</v>
          </cell>
          <cell r="D10">
            <v>3.1</v>
          </cell>
          <cell r="E10">
            <v>3825</v>
          </cell>
          <cell r="F10">
            <v>1380</v>
          </cell>
          <cell r="G10">
            <v>247780</v>
          </cell>
        </row>
        <row r="11">
          <cell r="A11" t="str">
            <v>zh1203.2</v>
          </cell>
          <cell r="B11" t="str">
            <v>zh120</v>
          </cell>
          <cell r="C11" t="str">
            <v>Pestalozzihaus Räterschen</v>
          </cell>
          <cell r="D11">
            <v>3.2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zh1204.1</v>
          </cell>
          <cell r="B12" t="str">
            <v>zh120</v>
          </cell>
          <cell r="C12" t="str">
            <v>Pestalozzihaus Räterschen</v>
          </cell>
          <cell r="D12">
            <v>4.0999999999999996</v>
          </cell>
          <cell r="F12">
            <v>3375</v>
          </cell>
          <cell r="G12">
            <v>0</v>
          </cell>
        </row>
        <row r="13">
          <cell r="A13" t="str">
            <v>zh4583.1</v>
          </cell>
          <cell r="B13" t="str">
            <v>zh458</v>
          </cell>
          <cell r="C13" t="str">
            <v>Pestalozziheim Buechweid</v>
          </cell>
          <cell r="D13">
            <v>3.1</v>
          </cell>
          <cell r="E13">
            <v>20520</v>
          </cell>
          <cell r="F13">
            <v>1080</v>
          </cell>
          <cell r="G13">
            <v>1099225</v>
          </cell>
        </row>
        <row r="14">
          <cell r="A14" t="str">
            <v>zh4583.2</v>
          </cell>
          <cell r="B14" t="str">
            <v>zh458</v>
          </cell>
          <cell r="C14" t="str">
            <v>Pestalozziheim Buechweid</v>
          </cell>
          <cell r="D14">
            <v>3.2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zh5522.3</v>
          </cell>
          <cell r="B15" t="str">
            <v>zh552</v>
          </cell>
          <cell r="C15" t="str">
            <v>Ringlikon ZKJ</v>
          </cell>
          <cell r="D15">
            <v>2.2999999999999998</v>
          </cell>
        </row>
        <row r="16">
          <cell r="A16" t="str">
            <v>zh5523.1</v>
          </cell>
          <cell r="B16" t="str">
            <v>zh552</v>
          </cell>
          <cell r="C16" t="str">
            <v>Ringlikon ZKJ</v>
          </cell>
          <cell r="D16">
            <v>3.1</v>
          </cell>
        </row>
        <row r="17">
          <cell r="A17" t="str">
            <v>zh1063.1</v>
          </cell>
          <cell r="B17" t="str">
            <v>zh106</v>
          </cell>
          <cell r="C17" t="str">
            <v>SH Elgg</v>
          </cell>
          <cell r="D17">
            <v>3.1</v>
          </cell>
          <cell r="E17">
            <v>809</v>
          </cell>
          <cell r="F17">
            <v>2698</v>
          </cell>
          <cell r="G17">
            <v>35000</v>
          </cell>
        </row>
        <row r="18">
          <cell r="A18" t="str">
            <v>zh1064.1</v>
          </cell>
          <cell r="B18" t="str">
            <v>zh106</v>
          </cell>
          <cell r="C18" t="str">
            <v>SH Elgg</v>
          </cell>
          <cell r="D18">
            <v>4.0999999999999996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zh1064.3</v>
          </cell>
          <cell r="B19" t="str">
            <v>zh106</v>
          </cell>
          <cell r="C19" t="str">
            <v>SH Elgg</v>
          </cell>
          <cell r="D19">
            <v>4.3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zh1123.1</v>
          </cell>
          <cell r="B20" t="str">
            <v>zh112</v>
          </cell>
          <cell r="C20" t="str">
            <v>Albisbrunn</v>
          </cell>
          <cell r="D20">
            <v>3.1</v>
          </cell>
          <cell r="E20">
            <v>180</v>
          </cell>
          <cell r="F20">
            <v>540</v>
          </cell>
          <cell r="G20">
            <v>10800</v>
          </cell>
        </row>
        <row r="21">
          <cell r="A21" t="str">
            <v>zh1123.2</v>
          </cell>
          <cell r="B21" t="str">
            <v>zh112</v>
          </cell>
          <cell r="C21" t="str">
            <v>Albisbrunn</v>
          </cell>
          <cell r="D21">
            <v>3.2</v>
          </cell>
          <cell r="E21">
            <v>720</v>
          </cell>
          <cell r="F21">
            <v>1050</v>
          </cell>
        </row>
        <row r="22">
          <cell r="A22" t="str">
            <v>zh4642.3</v>
          </cell>
          <cell r="B22" t="str">
            <v>zh464</v>
          </cell>
          <cell r="C22" t="str">
            <v>Sprachheilschule Zürich</v>
          </cell>
          <cell r="D22">
            <v>2.2999999999999998</v>
          </cell>
        </row>
        <row r="23">
          <cell r="A23" t="str">
            <v>zh1053.1</v>
          </cell>
          <cell r="B23" t="str">
            <v>zh105</v>
          </cell>
          <cell r="C23" t="str">
            <v>SH Friedheim</v>
          </cell>
          <cell r="D23">
            <v>3.1</v>
          </cell>
          <cell r="E23">
            <v>1440</v>
          </cell>
          <cell r="F23">
            <v>1395</v>
          </cell>
          <cell r="G23">
            <v>98800</v>
          </cell>
        </row>
        <row r="24">
          <cell r="A24" t="str">
            <v>zh4622.2</v>
          </cell>
          <cell r="B24" t="str">
            <v>zh462</v>
          </cell>
          <cell r="C24" t="str">
            <v>SH Tanne</v>
          </cell>
          <cell r="D24">
            <v>2.2000000000000002</v>
          </cell>
        </row>
        <row r="25">
          <cell r="A25" t="str">
            <v>zh4623.1</v>
          </cell>
          <cell r="B25" t="str">
            <v>zh462</v>
          </cell>
          <cell r="C25" t="str">
            <v>SH Tanne</v>
          </cell>
          <cell r="D25">
            <v>3.1</v>
          </cell>
        </row>
        <row r="26">
          <cell r="A26" t="str">
            <v>zh4632.2</v>
          </cell>
          <cell r="B26" t="str">
            <v>zh463</v>
          </cell>
          <cell r="C26" t="str">
            <v>Sprachheilschule Stäfa</v>
          </cell>
          <cell r="D26">
            <v>2.2000000000000002</v>
          </cell>
          <cell r="E26">
            <v>6120</v>
          </cell>
          <cell r="F26">
            <v>0</v>
          </cell>
        </row>
        <row r="27">
          <cell r="A27" t="str">
            <v>zh4632.3</v>
          </cell>
          <cell r="B27" t="str">
            <v>zh463</v>
          </cell>
          <cell r="C27" t="str">
            <v>Sprachheilschule Stäfa</v>
          </cell>
          <cell r="D27">
            <v>2.2999999999999998</v>
          </cell>
          <cell r="E27">
            <v>7920</v>
          </cell>
          <cell r="F27">
            <v>0</v>
          </cell>
        </row>
        <row r="28">
          <cell r="A28" t="str">
            <v>zh4633.1</v>
          </cell>
          <cell r="B28" t="str">
            <v>zh463</v>
          </cell>
          <cell r="C28" t="str">
            <v>Sprachheilschule Stäfa</v>
          </cell>
          <cell r="D28">
            <v>3.1</v>
          </cell>
          <cell r="E28">
            <v>3600</v>
          </cell>
          <cell r="F28">
            <v>0</v>
          </cell>
          <cell r="G28">
            <v>523425</v>
          </cell>
        </row>
        <row r="29">
          <cell r="A29" t="str">
            <v>zh4602.1</v>
          </cell>
          <cell r="B29" t="str">
            <v>zh460</v>
          </cell>
          <cell r="C29" t="str">
            <v>KH Bühl</v>
          </cell>
          <cell r="D29">
            <v>2.1</v>
          </cell>
          <cell r="E29">
            <v>5040</v>
          </cell>
          <cell r="F29">
            <v>0</v>
          </cell>
        </row>
        <row r="30">
          <cell r="A30" t="str">
            <v>zh4602.2</v>
          </cell>
          <cell r="B30" t="str">
            <v>zh460</v>
          </cell>
          <cell r="C30" t="str">
            <v>KH Bühl</v>
          </cell>
          <cell r="D30">
            <v>2.2000000000000002</v>
          </cell>
          <cell r="E30">
            <v>12240</v>
          </cell>
          <cell r="F30">
            <v>1440</v>
          </cell>
        </row>
        <row r="31">
          <cell r="A31" t="str">
            <v>zh4602.4</v>
          </cell>
          <cell r="B31" t="str">
            <v>zh460</v>
          </cell>
          <cell r="C31" t="str">
            <v>KH Bühl</v>
          </cell>
          <cell r="D31">
            <v>2.4</v>
          </cell>
          <cell r="E31">
            <v>1600</v>
          </cell>
          <cell r="F31">
            <v>0</v>
          </cell>
        </row>
        <row r="32">
          <cell r="A32" t="str">
            <v>zh4603.1</v>
          </cell>
          <cell r="B32" t="str">
            <v>zh460</v>
          </cell>
          <cell r="C32" t="str">
            <v>KH Bühl</v>
          </cell>
          <cell r="D32">
            <v>3.1</v>
          </cell>
          <cell r="E32">
            <v>14400</v>
          </cell>
          <cell r="F32">
            <v>720</v>
          </cell>
          <cell r="G32">
            <v>1253480</v>
          </cell>
        </row>
        <row r="33">
          <cell r="A33" t="str">
            <v>zh4603.2</v>
          </cell>
          <cell r="B33" t="str">
            <v>zh460</v>
          </cell>
          <cell r="C33" t="str">
            <v>KH Bühl</v>
          </cell>
          <cell r="D33">
            <v>3.2</v>
          </cell>
          <cell r="E33">
            <v>6640</v>
          </cell>
          <cell r="F33">
            <v>0</v>
          </cell>
        </row>
        <row r="34">
          <cell r="A34" t="str">
            <v>zh4573.1</v>
          </cell>
          <cell r="B34" t="str">
            <v>zh457</v>
          </cell>
          <cell r="C34" t="str">
            <v>Schloss Regensberg</v>
          </cell>
          <cell r="D34">
            <v>3.1</v>
          </cell>
          <cell r="E34">
            <v>5430</v>
          </cell>
          <cell r="F34">
            <v>1080</v>
          </cell>
          <cell r="G34">
            <v>342040</v>
          </cell>
        </row>
        <row r="35">
          <cell r="A35" t="str">
            <v>zh4573.2</v>
          </cell>
          <cell r="B35" t="str">
            <v>zh457</v>
          </cell>
          <cell r="C35" t="str">
            <v>Schloss Regensberg</v>
          </cell>
          <cell r="D35">
            <v>3.2</v>
          </cell>
          <cell r="E35">
            <v>1800</v>
          </cell>
          <cell r="F35">
            <v>0</v>
          </cell>
          <cell r="G35">
            <v>70420</v>
          </cell>
        </row>
        <row r="36">
          <cell r="A36" t="str">
            <v>zh4522.2</v>
          </cell>
          <cell r="B36" t="str">
            <v>zh452</v>
          </cell>
          <cell r="C36" t="str">
            <v>SH Dielsdorf</v>
          </cell>
          <cell r="D36">
            <v>2.2000000000000002</v>
          </cell>
          <cell r="E36">
            <v>3240</v>
          </cell>
          <cell r="F36">
            <v>180</v>
          </cell>
        </row>
        <row r="37">
          <cell r="A37" t="str">
            <v>zh4523.1</v>
          </cell>
          <cell r="B37" t="str">
            <v>zh452</v>
          </cell>
          <cell r="C37" t="str">
            <v>SH Dielsdorf</v>
          </cell>
          <cell r="D37">
            <v>3.1</v>
          </cell>
          <cell r="E37">
            <v>3420</v>
          </cell>
          <cell r="F37">
            <v>180</v>
          </cell>
          <cell r="G37">
            <v>249062</v>
          </cell>
        </row>
        <row r="38">
          <cell r="A38" t="str">
            <v>zh3082.2</v>
          </cell>
          <cell r="B38" t="str">
            <v>zh308</v>
          </cell>
          <cell r="C38" t="str">
            <v>Villa RA ZKJ</v>
          </cell>
          <cell r="D38">
            <v>2.2000000000000002</v>
          </cell>
        </row>
        <row r="39">
          <cell r="A39" t="str">
            <v>zh3083.1</v>
          </cell>
          <cell r="B39" t="str">
            <v>zh308</v>
          </cell>
          <cell r="C39" t="str">
            <v>Villa RA ZKJ</v>
          </cell>
          <cell r="D39">
            <v>3.1</v>
          </cell>
        </row>
        <row r="40">
          <cell r="A40" t="str">
            <v>zh1243.1</v>
          </cell>
          <cell r="B40" t="str">
            <v>zh124</v>
          </cell>
          <cell r="C40" t="str">
            <v>WS Grundhof</v>
          </cell>
          <cell r="D40">
            <v>3.1</v>
          </cell>
          <cell r="E40">
            <v>2394</v>
          </cell>
          <cell r="F40">
            <v>0</v>
          </cell>
          <cell r="G40">
            <v>112000</v>
          </cell>
        </row>
        <row r="41">
          <cell r="A41" t="str">
            <v>zh1093.1</v>
          </cell>
          <cell r="B41" t="str">
            <v>zh109</v>
          </cell>
          <cell r="C41" t="str">
            <v>WS Freienstein</v>
          </cell>
          <cell r="D41">
            <v>3.1</v>
          </cell>
          <cell r="E41">
            <v>3060</v>
          </cell>
          <cell r="F41">
            <v>6660</v>
          </cell>
          <cell r="G41">
            <v>180160</v>
          </cell>
        </row>
        <row r="42">
          <cell r="A42" t="str">
            <v>zh1094.1</v>
          </cell>
          <cell r="B42" t="str">
            <v>zh109</v>
          </cell>
          <cell r="C42" t="str">
            <v>WS Freienstein</v>
          </cell>
          <cell r="D42">
            <v>4.0999999999999996</v>
          </cell>
          <cell r="E42">
            <v>0</v>
          </cell>
          <cell r="F42">
            <v>1080</v>
          </cell>
          <cell r="G42">
            <v>0</v>
          </cell>
        </row>
        <row r="43">
          <cell r="A43" t="str">
            <v>zh1153.1</v>
          </cell>
          <cell r="B43" t="str">
            <v>zh115</v>
          </cell>
          <cell r="C43" t="str">
            <v>Pestalozzistiftung Knonau</v>
          </cell>
          <cell r="D43">
            <v>3.1</v>
          </cell>
          <cell r="E43">
            <v>720</v>
          </cell>
          <cell r="F43">
            <v>510</v>
          </cell>
          <cell r="G43">
            <v>46720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45"/>
    <pageSetUpPr fitToPage="1"/>
  </sheetPr>
  <dimension ref="A1:GM73"/>
  <sheetViews>
    <sheetView showGridLines="0" tabSelected="1" zoomScaleNormal="100" workbookViewId="0">
      <selection activeCell="C7" sqref="C7"/>
    </sheetView>
  </sheetViews>
  <sheetFormatPr baseColWidth="10" defaultColWidth="11.42578125" defaultRowHeight="12.75" x14ac:dyDescent="0.2"/>
  <cols>
    <col min="1" max="1" width="5.5703125" style="7" customWidth="1"/>
    <col min="2" max="2" width="6.28515625" style="7" customWidth="1"/>
    <col min="3" max="3" width="6.85546875" style="7" customWidth="1"/>
    <col min="4" max="4" width="9" style="7" customWidth="1"/>
    <col min="5" max="5" width="8.85546875" style="7" customWidth="1"/>
    <col min="6" max="6" width="0.85546875" style="7" customWidth="1"/>
    <col min="7" max="7" width="35.42578125" style="7" customWidth="1"/>
    <col min="8" max="8" width="6.140625" style="7" customWidth="1"/>
    <col min="9" max="9" width="7.5703125" style="7" customWidth="1"/>
    <col min="10" max="10" width="9.140625" style="7" customWidth="1"/>
    <col min="11" max="11" width="12.42578125" style="7" customWidth="1"/>
    <col min="12" max="12" width="131.42578125" style="7" bestFit="1" customWidth="1"/>
    <col min="13" max="25" width="11.42578125" style="7" customWidth="1"/>
    <col min="26" max="39" width="11.42578125" style="54" customWidth="1"/>
    <col min="40" max="206" width="11.42578125" style="7" customWidth="1"/>
    <col min="207" max="16384" width="11.42578125" style="7"/>
  </cols>
  <sheetData>
    <row r="1" spans="1:39" x14ac:dyDescent="0.2">
      <c r="K1" s="53" t="s">
        <v>108</v>
      </c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39" ht="12" customHeight="1" x14ac:dyDescent="0.2">
      <c r="K2" s="52" t="s">
        <v>109</v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39" ht="16.5" customHeight="1" x14ac:dyDescent="0.25">
      <c r="A3" s="8" t="s">
        <v>138</v>
      </c>
      <c r="G3" s="9" t="s">
        <v>8</v>
      </c>
      <c r="H3" s="57" t="str">
        <f>IFERROR(VLOOKUP(C7,Institutionen!A:D,4,FALSE),"")</f>
        <v/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39" ht="3" customHeight="1" x14ac:dyDescent="0.2">
      <c r="H4" s="151"/>
      <c r="I4" s="151"/>
      <c r="J4" s="151"/>
      <c r="K4" s="151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39" ht="10.5" customHeight="1" x14ac:dyDescent="0.2">
      <c r="A5" s="145" t="s">
        <v>186</v>
      </c>
      <c r="B5" s="145"/>
      <c r="C5" s="145"/>
      <c r="D5" s="145"/>
      <c r="E5" s="4"/>
      <c r="F5" s="3"/>
      <c r="H5" s="151"/>
      <c r="I5" s="151"/>
      <c r="J5" s="151"/>
      <c r="K5" s="151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39" ht="14.25" customHeight="1" x14ac:dyDescent="0.2">
      <c r="C6" s="41" t="s">
        <v>61</v>
      </c>
      <c r="E6" s="10" t="s">
        <v>13</v>
      </c>
      <c r="F6" s="3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39" s="63" customFormat="1" ht="15" customHeight="1" x14ac:dyDescent="0.2">
      <c r="A7" s="11"/>
      <c r="B7" s="11"/>
      <c r="C7" s="40"/>
      <c r="D7" s="11"/>
      <c r="E7" s="148" t="str">
        <f>IFERROR(VLOOKUP(C7,Institutionen!A:D,2,FALSE),"")</f>
        <v/>
      </c>
      <c r="F7" s="148"/>
      <c r="G7" s="148"/>
      <c r="H7" s="148"/>
      <c r="I7" s="148"/>
      <c r="J7" s="148"/>
      <c r="K7" s="148"/>
      <c r="L7" s="102"/>
      <c r="M7" s="103"/>
      <c r="N7" s="103"/>
      <c r="O7" s="103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</row>
    <row r="8" spans="1:39" ht="3" customHeight="1" x14ac:dyDescent="0.2">
      <c r="B8" s="12"/>
      <c r="C8" s="13"/>
      <c r="D8" s="14"/>
      <c r="E8" s="14"/>
      <c r="F8" s="2"/>
      <c r="L8" s="54"/>
      <c r="M8" s="54"/>
      <c r="N8" s="55"/>
      <c r="O8" s="55"/>
      <c r="P8" s="55"/>
      <c r="Q8" s="55"/>
      <c r="R8" s="55"/>
      <c r="S8" s="55"/>
      <c r="T8" s="55"/>
      <c r="U8" s="54"/>
      <c r="V8" s="54"/>
      <c r="W8" s="54"/>
      <c r="X8" s="54"/>
      <c r="Y8" s="54"/>
    </row>
    <row r="9" spans="1:39" ht="12" customHeight="1" x14ac:dyDescent="0.2">
      <c r="A9" s="15" t="s">
        <v>177</v>
      </c>
      <c r="B9" s="15"/>
      <c r="C9" s="16"/>
      <c r="D9" s="17"/>
      <c r="E9" s="17"/>
      <c r="F9" s="5"/>
      <c r="G9" s="18"/>
      <c r="H9" s="18"/>
      <c r="I9" s="18"/>
      <c r="J9" s="18"/>
      <c r="K9" s="18"/>
      <c r="L9" s="54"/>
      <c r="M9" s="54"/>
      <c r="N9" s="56"/>
      <c r="O9" s="56"/>
      <c r="P9" s="56"/>
      <c r="Q9" s="56"/>
      <c r="R9" s="56"/>
      <c r="S9" s="56"/>
      <c r="T9" s="56"/>
      <c r="U9" s="54"/>
      <c r="V9" s="54"/>
      <c r="W9" s="54"/>
      <c r="X9" s="54"/>
      <c r="Y9" s="54"/>
    </row>
    <row r="10" spans="1:39" ht="21.75" customHeight="1" x14ac:dyDescent="0.2">
      <c r="B10" s="147"/>
      <c r="C10" s="147"/>
      <c r="D10" s="147"/>
      <c r="E10" s="147"/>
      <c r="J10" s="90" t="s">
        <v>275</v>
      </c>
      <c r="K10" s="90" t="s">
        <v>176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39" x14ac:dyDescent="0.2">
      <c r="A11" s="146" t="s">
        <v>2</v>
      </c>
      <c r="B11" s="146"/>
      <c r="C11" s="146"/>
      <c r="D11" s="146"/>
      <c r="E11" s="96" t="str">
        <f>IFERROR(VLOOKUP($H$3,Eckdaten,2,FALSE),"")</f>
        <v/>
      </c>
      <c r="G11" s="149" t="s">
        <v>3</v>
      </c>
      <c r="H11" s="150"/>
      <c r="I11" s="150"/>
      <c r="J11" s="6"/>
      <c r="K11" s="6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39" x14ac:dyDescent="0.2">
      <c r="A12" s="146" t="s">
        <v>7</v>
      </c>
      <c r="B12" s="146"/>
      <c r="C12" s="146"/>
      <c r="D12" s="146"/>
      <c r="E12" s="96" t="str">
        <f>IFERROR(VLOOKUP($H$3,Eckdaten,3,FALSE),"")</f>
        <v/>
      </c>
      <c r="G12" s="150" t="s">
        <v>4</v>
      </c>
      <c r="H12" s="150"/>
      <c r="I12" s="150"/>
      <c r="J12" s="6"/>
      <c r="K12" s="6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39" x14ac:dyDescent="0.2">
      <c r="A13" s="152" t="s">
        <v>104</v>
      </c>
      <c r="B13" s="146"/>
      <c r="C13" s="146"/>
      <c r="D13" s="146"/>
      <c r="E13" s="97" t="str">
        <f>IFERROR(VLOOKUP($H$3,Eckdaten,4,FALSE),"")</f>
        <v/>
      </c>
      <c r="G13" s="150" t="s">
        <v>11</v>
      </c>
      <c r="H13" s="150"/>
      <c r="I13" s="150"/>
      <c r="J13" s="6"/>
      <c r="K13" s="6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39" x14ac:dyDescent="0.2">
      <c r="A14" s="152" t="s">
        <v>105</v>
      </c>
      <c r="B14" s="146"/>
      <c r="C14" s="146"/>
      <c r="D14" s="146"/>
      <c r="E14" s="97" t="str">
        <f>IFERROR(VLOOKUP($H$3,Eckdaten,5,FALSE),"")</f>
        <v/>
      </c>
      <c r="G14" s="150" t="s">
        <v>10</v>
      </c>
      <c r="H14" s="150"/>
      <c r="I14" s="150"/>
      <c r="J14" s="6"/>
      <c r="K14" s="6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39" x14ac:dyDescent="0.2">
      <c r="A15" s="146" t="s">
        <v>25</v>
      </c>
      <c r="B15" s="146"/>
      <c r="C15" s="146"/>
      <c r="D15" s="146"/>
      <c r="E15" s="98" t="str">
        <f>IFERROR(VLOOKUP($H$3,Eckdaten,6,FALSE),"")</f>
        <v/>
      </c>
      <c r="G15" s="150" t="s">
        <v>5</v>
      </c>
      <c r="H15" s="150"/>
      <c r="I15" s="150"/>
      <c r="J15" s="58">
        <f>SUM(J11:J14)</f>
        <v>0</v>
      </c>
      <c r="K15" s="58">
        <f>SUM(K11:K14)</f>
        <v>0</v>
      </c>
    </row>
    <row r="16" spans="1:39" x14ac:dyDescent="0.2">
      <c r="A16" s="146" t="s">
        <v>31</v>
      </c>
      <c r="B16" s="146"/>
      <c r="C16" s="146"/>
      <c r="D16" s="146"/>
      <c r="E16" s="96" t="str">
        <f>IFERROR(VLOOKUP($H$3,Eckdaten,7,FALSE),"")</f>
        <v/>
      </c>
      <c r="G16" s="153" t="s">
        <v>136</v>
      </c>
      <c r="H16" s="154"/>
      <c r="I16" s="154"/>
      <c r="J16" s="154"/>
      <c r="K16" s="155"/>
    </row>
    <row r="17" spans="1:25" x14ac:dyDescent="0.2">
      <c r="A17" s="152" t="s">
        <v>135</v>
      </c>
      <c r="B17" s="146"/>
      <c r="C17" s="146"/>
      <c r="D17" s="146"/>
      <c r="E17" s="96" t="str">
        <f>IFERROR(VLOOKUP($H$3,Mittagessen,2,FALSE),"")</f>
        <v/>
      </c>
      <c r="G17" s="156" t="s">
        <v>149</v>
      </c>
      <c r="H17" s="157"/>
      <c r="I17" s="157"/>
      <c r="J17" s="157"/>
      <c r="K17" s="158"/>
    </row>
    <row r="18" spans="1:25" ht="4.5" customHeight="1" x14ac:dyDescent="0.2">
      <c r="B18" s="19"/>
      <c r="C18" s="19"/>
      <c r="D18" s="1"/>
      <c r="F18" s="1"/>
    </row>
    <row r="19" spans="1:25" ht="12.75" customHeight="1" x14ac:dyDescent="0.2">
      <c r="A19" s="15" t="s">
        <v>178</v>
      </c>
      <c r="B19" s="18"/>
      <c r="C19" s="16"/>
      <c r="D19" s="17"/>
      <c r="E19" s="17"/>
      <c r="F19" s="2"/>
      <c r="G19" s="15" t="s">
        <v>179</v>
      </c>
      <c r="H19" s="18"/>
      <c r="I19" s="18"/>
      <c r="J19" s="18"/>
      <c r="K19" s="18"/>
    </row>
    <row r="20" spans="1:25" ht="45" x14ac:dyDescent="0.2">
      <c r="A20" s="92" t="s">
        <v>35</v>
      </c>
      <c r="B20" s="92" t="s">
        <v>57</v>
      </c>
      <c r="C20" s="92" t="s">
        <v>15</v>
      </c>
      <c r="D20" s="91" t="s">
        <v>12</v>
      </c>
      <c r="E20" s="91" t="s">
        <v>16</v>
      </c>
      <c r="F20" s="12"/>
      <c r="G20" s="20"/>
      <c r="H20" s="160" t="s">
        <v>32</v>
      </c>
      <c r="I20" s="161"/>
      <c r="J20" s="160" t="s">
        <v>28</v>
      </c>
      <c r="K20" s="161"/>
    </row>
    <row r="21" spans="1:25" ht="22.5" customHeight="1" x14ac:dyDescent="0.2">
      <c r="A21" s="42" t="s">
        <v>36</v>
      </c>
      <c r="B21" s="43"/>
      <c r="C21" s="43"/>
      <c r="D21" s="43"/>
      <c r="E21" s="43"/>
      <c r="G21" s="21"/>
      <c r="H21" s="91" t="s">
        <v>30</v>
      </c>
      <c r="I21" s="90" t="s">
        <v>172</v>
      </c>
      <c r="J21" s="91" t="s">
        <v>56</v>
      </c>
      <c r="K21" s="90" t="s">
        <v>173</v>
      </c>
      <c r="L21" s="22" t="s">
        <v>148</v>
      </c>
      <c r="M21" s="23"/>
      <c r="N21" s="23"/>
    </row>
    <row r="22" spans="1:25" x14ac:dyDescent="0.2">
      <c r="A22" s="42" t="s">
        <v>37</v>
      </c>
      <c r="B22" s="43"/>
      <c r="C22" s="43"/>
      <c r="D22" s="43"/>
      <c r="E22" s="43"/>
      <c r="G22" s="24" t="s">
        <v>29</v>
      </c>
      <c r="H22" s="84"/>
      <c r="I22" s="85"/>
      <c r="J22" s="84"/>
      <c r="K22" s="85"/>
      <c r="L22" s="108" t="s">
        <v>139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5" x14ac:dyDescent="0.2">
      <c r="A23" s="42" t="s">
        <v>38</v>
      </c>
      <c r="B23" s="43"/>
      <c r="C23" s="43"/>
      <c r="D23" s="43"/>
      <c r="E23" s="43"/>
      <c r="G23" s="24" t="s">
        <v>18</v>
      </c>
      <c r="H23" s="84"/>
      <c r="I23" s="85"/>
      <c r="J23" s="84"/>
      <c r="K23" s="87"/>
      <c r="L23" s="108" t="s">
        <v>140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x14ac:dyDescent="0.2">
      <c r="A24" s="42" t="s">
        <v>39</v>
      </c>
      <c r="B24" s="43"/>
      <c r="C24" s="43"/>
      <c r="D24" s="43"/>
      <c r="E24" s="43"/>
      <c r="G24" s="24" t="s">
        <v>17</v>
      </c>
      <c r="H24" s="84"/>
      <c r="I24" s="85"/>
      <c r="J24" s="84"/>
      <c r="K24" s="87"/>
      <c r="L24" s="108" t="s">
        <v>141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x14ac:dyDescent="0.2">
      <c r="A25" s="42" t="s">
        <v>40</v>
      </c>
      <c r="B25" s="43"/>
      <c r="C25" s="43"/>
      <c r="D25" s="43"/>
      <c r="E25" s="43"/>
      <c r="G25" s="24" t="s">
        <v>20</v>
      </c>
      <c r="H25" s="84"/>
      <c r="I25" s="85"/>
      <c r="J25" s="84"/>
      <c r="K25" s="87"/>
      <c r="L25" s="109" t="s">
        <v>147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x14ac:dyDescent="0.2">
      <c r="A26" s="42" t="s">
        <v>41</v>
      </c>
      <c r="B26" s="43"/>
      <c r="C26" s="43"/>
      <c r="D26" s="43"/>
      <c r="E26" s="43"/>
      <c r="G26" s="95" t="s">
        <v>110</v>
      </c>
      <c r="H26" s="84"/>
      <c r="I26" s="85"/>
      <c r="J26" s="84"/>
      <c r="K26" s="87"/>
      <c r="L26" s="108" t="s">
        <v>151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x14ac:dyDescent="0.2">
      <c r="A27" s="42" t="s">
        <v>42</v>
      </c>
      <c r="B27" s="43"/>
      <c r="C27" s="43"/>
      <c r="D27" s="43"/>
      <c r="E27" s="43"/>
      <c r="G27" s="24" t="s">
        <v>21</v>
      </c>
      <c r="H27" s="84"/>
      <c r="I27" s="85"/>
      <c r="J27" s="84"/>
      <c r="K27" s="87"/>
      <c r="L27" s="108" t="s">
        <v>277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25" x14ac:dyDescent="0.2">
      <c r="A28" s="42" t="s">
        <v>43</v>
      </c>
      <c r="B28" s="43"/>
      <c r="C28" s="43"/>
      <c r="D28" s="43"/>
      <c r="E28" s="43"/>
      <c r="G28" s="24" t="s">
        <v>22</v>
      </c>
      <c r="H28" s="84"/>
      <c r="I28" s="85"/>
      <c r="J28" s="84"/>
      <c r="K28" s="87"/>
      <c r="L28" s="108" t="s">
        <v>278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x14ac:dyDescent="0.2">
      <c r="A29" s="42" t="s">
        <v>44</v>
      </c>
      <c r="B29" s="43"/>
      <c r="C29" s="43"/>
      <c r="D29" s="43"/>
      <c r="E29" s="43"/>
      <c r="G29" s="24" t="s">
        <v>27</v>
      </c>
      <c r="H29" s="84"/>
      <c r="I29" s="85"/>
      <c r="J29" s="84"/>
      <c r="K29" s="87"/>
      <c r="L29" s="108" t="s">
        <v>150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x14ac:dyDescent="0.2">
      <c r="A30" s="42" t="s">
        <v>45</v>
      </c>
      <c r="B30" s="43"/>
      <c r="C30" s="43"/>
      <c r="D30" s="43"/>
      <c r="E30" s="43"/>
      <c r="G30" s="24" t="s">
        <v>19</v>
      </c>
      <c r="H30" s="84"/>
      <c r="I30" s="85"/>
      <c r="J30" s="84"/>
      <c r="K30" s="87"/>
      <c r="L30" s="108" t="s">
        <v>145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5" x14ac:dyDescent="0.2">
      <c r="A31" s="42" t="s">
        <v>46</v>
      </c>
      <c r="B31" s="43"/>
      <c r="C31" s="43"/>
      <c r="D31" s="43"/>
      <c r="E31" s="43"/>
      <c r="G31" s="24" t="s">
        <v>23</v>
      </c>
      <c r="H31" s="6"/>
      <c r="I31" s="86">
        <f>IFERROR(H31/E12,0)</f>
        <v>0</v>
      </c>
      <c r="J31" s="6"/>
      <c r="K31" s="86">
        <f>IFERROR(J31/E12,0)</f>
        <v>0</v>
      </c>
      <c r="L31" s="108" t="s">
        <v>152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 x14ac:dyDescent="0.2">
      <c r="A32" s="42" t="s">
        <v>47</v>
      </c>
      <c r="B32" s="43"/>
      <c r="C32" s="43"/>
      <c r="D32" s="43"/>
      <c r="E32" s="43"/>
      <c r="G32" s="95" t="s">
        <v>111</v>
      </c>
      <c r="H32" s="6"/>
      <c r="I32" s="86">
        <f>IFERROR(H32/E12,0)</f>
        <v>0</v>
      </c>
      <c r="J32" s="6"/>
      <c r="K32" s="86">
        <f>IFERROR(J32/E12,0)</f>
        <v>0</v>
      </c>
      <c r="L32" s="108" t="s">
        <v>279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x14ac:dyDescent="0.2">
      <c r="A33" s="42" t="s">
        <v>48</v>
      </c>
      <c r="B33" s="43"/>
      <c r="C33" s="43"/>
      <c r="D33" s="43"/>
      <c r="E33" s="43"/>
      <c r="G33" s="38" t="s">
        <v>58</v>
      </c>
      <c r="H33" s="84"/>
      <c r="I33" s="87"/>
      <c r="J33" s="84"/>
      <c r="K33" s="87"/>
      <c r="L33" s="108" t="s">
        <v>280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x14ac:dyDescent="0.2">
      <c r="A34" s="42" t="s">
        <v>49</v>
      </c>
      <c r="B34" s="43"/>
      <c r="C34" s="43"/>
      <c r="D34" s="43"/>
      <c r="E34" s="43"/>
      <c r="G34" s="24" t="s">
        <v>137</v>
      </c>
      <c r="H34" s="88"/>
      <c r="I34" s="87"/>
      <c r="J34" s="88"/>
      <c r="K34" s="87"/>
      <c r="L34" s="108" t="s">
        <v>146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5" ht="12.6" customHeight="1" x14ac:dyDescent="0.2">
      <c r="A35" s="42" t="s">
        <v>50</v>
      </c>
      <c r="B35" s="43"/>
      <c r="C35" s="43"/>
      <c r="D35" s="43"/>
      <c r="E35" s="43"/>
      <c r="G35" s="24" t="s">
        <v>143</v>
      </c>
      <c r="H35" s="25"/>
      <c r="I35" s="126"/>
      <c r="L35" s="108" t="s">
        <v>281</v>
      </c>
      <c r="M35" s="110"/>
      <c r="N35" s="110"/>
      <c r="O35" s="110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x14ac:dyDescent="0.2">
      <c r="A36" s="42" t="s">
        <v>51</v>
      </c>
      <c r="B36" s="43"/>
      <c r="C36" s="43"/>
      <c r="D36" s="43"/>
      <c r="E36" s="43"/>
      <c r="G36" s="95" t="s">
        <v>144</v>
      </c>
      <c r="H36" s="25"/>
      <c r="I36" s="59"/>
      <c r="L36" s="108" t="s">
        <v>282</v>
      </c>
      <c r="M36" s="110"/>
      <c r="N36" s="110"/>
      <c r="O36" s="110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x14ac:dyDescent="0.2">
      <c r="A37" s="42" t="s">
        <v>52</v>
      </c>
      <c r="B37" s="43"/>
      <c r="C37" s="43"/>
      <c r="D37" s="43"/>
      <c r="E37" s="43"/>
      <c r="G37" s="24" t="s">
        <v>6</v>
      </c>
      <c r="H37" s="26"/>
      <c r="I37" s="59"/>
      <c r="L37" s="108" t="s">
        <v>283</v>
      </c>
      <c r="M37" s="110"/>
      <c r="N37" s="110"/>
      <c r="O37" s="110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x14ac:dyDescent="0.2">
      <c r="A38" s="42" t="s">
        <v>53</v>
      </c>
      <c r="B38" s="43"/>
      <c r="C38" s="43"/>
      <c r="D38" s="43"/>
      <c r="E38" s="43"/>
      <c r="G38" s="24" t="s">
        <v>0</v>
      </c>
      <c r="H38" s="26"/>
      <c r="I38" s="127"/>
      <c r="L38" s="111">
        <v>1.08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x14ac:dyDescent="0.2">
      <c r="A39" s="42" t="s">
        <v>54</v>
      </c>
      <c r="B39" s="43"/>
      <c r="C39" s="43"/>
      <c r="D39" s="43"/>
      <c r="E39" s="43"/>
      <c r="G39" s="27" t="s">
        <v>34</v>
      </c>
      <c r="H39" s="28"/>
      <c r="I39" s="60"/>
      <c r="L39" s="39"/>
    </row>
    <row r="40" spans="1:25" x14ac:dyDescent="0.2">
      <c r="A40" s="42" t="s">
        <v>55</v>
      </c>
      <c r="B40" s="43"/>
      <c r="C40" s="43"/>
      <c r="D40" s="43"/>
      <c r="E40" s="43"/>
      <c r="G40" s="29" t="s">
        <v>180</v>
      </c>
      <c r="H40" s="26"/>
      <c r="I40" s="61">
        <f>SUM(I22:I39)+SUM(K22:K34)</f>
        <v>0</v>
      </c>
    </row>
    <row r="41" spans="1:25" x14ac:dyDescent="0.2">
      <c r="A41" s="137" t="s">
        <v>276</v>
      </c>
      <c r="B41" s="136"/>
      <c r="C41" s="138">
        <f>COUNT(C21:C40)</f>
        <v>0</v>
      </c>
      <c r="D41" s="1"/>
      <c r="E41" s="1"/>
      <c r="G41" s="30"/>
    </row>
    <row r="42" spans="1:25" x14ac:dyDescent="0.2">
      <c r="A42" s="32" t="s">
        <v>33</v>
      </c>
      <c r="G42" s="15" t="s">
        <v>184</v>
      </c>
      <c r="H42" s="18"/>
      <c r="I42" s="18"/>
      <c r="J42" s="18"/>
      <c r="K42" s="18"/>
    </row>
    <row r="43" spans="1:25" x14ac:dyDescent="0.2">
      <c r="A43" s="164"/>
      <c r="B43" s="164"/>
      <c r="C43" s="164"/>
      <c r="D43" s="164"/>
      <c r="E43" s="164"/>
      <c r="G43" s="95" t="s">
        <v>162</v>
      </c>
      <c r="H43" s="62">
        <f>IFERROR(K15/E16,0)</f>
        <v>0</v>
      </c>
      <c r="I43" s="63"/>
      <c r="J43" s="63"/>
      <c r="K43" s="63"/>
      <c r="L43" s="63"/>
      <c r="M43" s="63"/>
    </row>
    <row r="44" spans="1:25" x14ac:dyDescent="0.2">
      <c r="A44" s="164"/>
      <c r="B44" s="164"/>
      <c r="C44" s="164"/>
      <c r="D44" s="164"/>
      <c r="E44" s="164"/>
      <c r="G44" s="95" t="s">
        <v>169</v>
      </c>
      <c r="H44" s="62" t="str">
        <f>IF(C41=0,"",((J11+J12)/C41))</f>
        <v/>
      </c>
      <c r="I44" s="63"/>
      <c r="J44" s="63"/>
      <c r="K44" s="63"/>
      <c r="L44" s="63"/>
      <c r="M44" s="63"/>
    </row>
    <row r="45" spans="1:25" x14ac:dyDescent="0.2">
      <c r="A45" s="164"/>
      <c r="B45" s="164"/>
      <c r="C45" s="164"/>
      <c r="D45" s="164"/>
      <c r="E45" s="164"/>
      <c r="G45" s="95" t="s">
        <v>170</v>
      </c>
      <c r="H45" s="64" t="str">
        <f>IFERROR(IF(H43=0,"",((J11+J12)/H43)),0)</f>
        <v/>
      </c>
      <c r="I45" s="63"/>
      <c r="J45" s="63"/>
      <c r="K45" s="63"/>
      <c r="L45" s="63"/>
    </row>
    <row r="46" spans="1:25" ht="14.25" customHeight="1" x14ac:dyDescent="0.2">
      <c r="A46" s="164"/>
      <c r="B46" s="164"/>
      <c r="C46" s="164"/>
      <c r="D46" s="164"/>
      <c r="E46" s="164"/>
      <c r="G46" s="95" t="s">
        <v>163</v>
      </c>
      <c r="H46" s="64" t="str">
        <f>IF(D21="","",AVERAGE(D21:D40)/E12)</f>
        <v/>
      </c>
      <c r="I46" s="76"/>
      <c r="J46" s="76"/>
      <c r="K46" s="76"/>
      <c r="L46" s="76"/>
      <c r="M46" s="76"/>
      <c r="N46" s="99"/>
      <c r="O46" s="99"/>
    </row>
    <row r="47" spans="1:25" ht="12.75" customHeight="1" x14ac:dyDescent="0.2">
      <c r="A47" s="164"/>
      <c r="B47" s="164"/>
      <c r="C47" s="164"/>
      <c r="D47" s="164"/>
      <c r="E47" s="164"/>
      <c r="G47" s="95" t="s">
        <v>164</v>
      </c>
      <c r="H47" s="65">
        <f>IF(E21="",0,SUM(E21:E40)/C41/E11)</f>
        <v>0</v>
      </c>
      <c r="I47" s="100"/>
      <c r="J47" s="101"/>
      <c r="K47" s="101"/>
      <c r="L47" s="76"/>
      <c r="M47" s="76"/>
      <c r="N47" s="100"/>
      <c r="O47" s="100"/>
    </row>
    <row r="48" spans="1:25" x14ac:dyDescent="0.2">
      <c r="A48" s="164"/>
      <c r="B48" s="164"/>
      <c r="C48" s="164"/>
      <c r="D48" s="164"/>
      <c r="E48" s="164"/>
      <c r="G48" s="24" t="s">
        <v>14</v>
      </c>
      <c r="H48" s="66" t="str">
        <f>IF(J15=0,"",J15/K15)</f>
        <v/>
      </c>
      <c r="I48" s="63"/>
      <c r="J48" s="63"/>
      <c r="K48" s="63"/>
      <c r="L48" s="76"/>
      <c r="M48" s="76"/>
    </row>
    <row r="49" spans="1:15" ht="4.5" customHeight="1" x14ac:dyDescent="0.2">
      <c r="A49" s="164"/>
      <c r="B49" s="164"/>
      <c r="C49" s="164"/>
      <c r="D49" s="164"/>
      <c r="E49" s="164"/>
      <c r="G49" s="19"/>
      <c r="H49" s="19"/>
      <c r="I49" s="63"/>
      <c r="J49" s="63"/>
      <c r="K49" s="63"/>
      <c r="L49" s="76"/>
      <c r="M49" s="76"/>
    </row>
    <row r="50" spans="1:15" ht="12.75" customHeight="1" x14ac:dyDescent="0.2">
      <c r="A50" s="164"/>
      <c r="B50" s="164"/>
      <c r="C50" s="164"/>
      <c r="D50" s="164"/>
      <c r="E50" s="164"/>
      <c r="G50" s="31"/>
      <c r="H50" s="159" t="s">
        <v>174</v>
      </c>
      <c r="I50" s="162" t="s">
        <v>171</v>
      </c>
      <c r="J50" s="159" t="s">
        <v>284</v>
      </c>
      <c r="K50" s="159" t="s">
        <v>175</v>
      </c>
      <c r="L50" s="76"/>
      <c r="M50" s="76"/>
    </row>
    <row r="51" spans="1:15" ht="13.5" thickBot="1" x14ac:dyDescent="0.25">
      <c r="A51" s="164"/>
      <c r="B51" s="164"/>
      <c r="C51" s="164"/>
      <c r="D51" s="164"/>
      <c r="E51" s="164"/>
      <c r="G51" s="14" t="s">
        <v>181</v>
      </c>
      <c r="H51" s="163"/>
      <c r="I51" s="162"/>
      <c r="J51" s="159"/>
      <c r="K51" s="159"/>
      <c r="L51" s="76"/>
      <c r="M51" s="76"/>
    </row>
    <row r="52" spans="1:15" x14ac:dyDescent="0.2">
      <c r="A52" s="164"/>
      <c r="B52" s="164"/>
      <c r="C52" s="164"/>
      <c r="D52" s="164"/>
      <c r="E52" s="164"/>
      <c r="G52" s="123" t="s">
        <v>166</v>
      </c>
      <c r="H52" s="64">
        <f>I22+I23+I24+I27*0.75+I28*0.5+I29*0.5+I30*0.25</f>
        <v>0</v>
      </c>
      <c r="I52" s="142" t="str">
        <f>IFERROR(IF($H$66=0,"",(H52/$H$66)),"")</f>
        <v/>
      </c>
      <c r="J52" s="165">
        <f>IFERROR(IF($H$47="","",($H$47*(K11*$E$13)/$E$12)+($H$47*(K12*$E$14)/$E$12)),0)</f>
        <v>0</v>
      </c>
      <c r="K52" s="167">
        <f>IF(J52="","",((H55)-J52))</f>
        <v>0</v>
      </c>
      <c r="L52" s="76"/>
      <c r="M52" s="76"/>
    </row>
    <row r="53" spans="1:15" x14ac:dyDescent="0.2">
      <c r="A53" s="164"/>
      <c r="B53" s="164"/>
      <c r="C53" s="164"/>
      <c r="D53" s="164"/>
      <c r="E53" s="164"/>
      <c r="G53" s="124" t="s">
        <v>167</v>
      </c>
      <c r="H53" s="62">
        <f>I33+I34*0.5</f>
        <v>0</v>
      </c>
      <c r="I53" s="69" t="str">
        <f>IFERROR(IF($H$66=0,"",(H53/$H$66)),"")</f>
        <v/>
      </c>
      <c r="J53" s="165"/>
      <c r="K53" s="167"/>
      <c r="L53" s="76"/>
      <c r="M53" s="76"/>
    </row>
    <row r="54" spans="1:15" ht="16.5" customHeight="1" x14ac:dyDescent="0.2">
      <c r="A54" s="164"/>
      <c r="B54" s="164"/>
      <c r="C54" s="164"/>
      <c r="D54" s="164"/>
      <c r="E54" s="164"/>
      <c r="G54" s="124" t="s">
        <v>165</v>
      </c>
      <c r="H54" s="62">
        <f>IFERROR(I25+I31,"")</f>
        <v>0</v>
      </c>
      <c r="I54" s="69" t="str">
        <f>IFERROR(IF($H$66=0,"",(H54/$H$66)),"")</f>
        <v/>
      </c>
      <c r="J54" s="165"/>
      <c r="K54" s="167"/>
      <c r="L54" s="76"/>
      <c r="M54" s="76"/>
    </row>
    <row r="55" spans="1:15" ht="15.75" customHeight="1" thickBot="1" x14ac:dyDescent="0.25">
      <c r="A55" s="164"/>
      <c r="B55" s="164"/>
      <c r="C55" s="164"/>
      <c r="D55" s="164"/>
      <c r="E55" s="164"/>
      <c r="G55" s="125" t="s">
        <v>1</v>
      </c>
      <c r="H55" s="70">
        <f>SUM(H52:H54)</f>
        <v>0</v>
      </c>
      <c r="I55" s="71"/>
      <c r="J55" s="166"/>
      <c r="K55" s="168"/>
      <c r="L55" s="76"/>
      <c r="M55" s="76"/>
      <c r="O55" s="37"/>
    </row>
    <row r="56" spans="1:15" ht="4.5" customHeight="1" thickBot="1" x14ac:dyDescent="0.25">
      <c r="A56" s="164"/>
      <c r="B56" s="164"/>
      <c r="C56" s="164"/>
      <c r="D56" s="164"/>
      <c r="E56" s="164"/>
      <c r="H56" s="63"/>
      <c r="I56" s="63"/>
      <c r="J56" s="63"/>
      <c r="K56" s="63"/>
      <c r="L56" s="76"/>
      <c r="M56" s="76"/>
    </row>
    <row r="57" spans="1:15" ht="13.5" thickBot="1" x14ac:dyDescent="0.25">
      <c r="A57" s="164"/>
      <c r="B57" s="164"/>
      <c r="C57" s="164"/>
      <c r="D57" s="164"/>
      <c r="E57" s="164"/>
      <c r="G57" s="106" t="s">
        <v>142</v>
      </c>
      <c r="H57" s="107">
        <f>I35+I36</f>
        <v>0</v>
      </c>
      <c r="I57" s="72" t="str">
        <f>IFERROR(IF($H$66=0,"",(H57/$H$66)),"")</f>
        <v/>
      </c>
      <c r="J57" s="73">
        <f>IFERROR(K15*E17,0)</f>
        <v>0</v>
      </c>
      <c r="K57" s="74">
        <f>IF(J57="","",(H57-J57))</f>
        <v>0</v>
      </c>
      <c r="L57" s="76"/>
      <c r="M57" s="76"/>
    </row>
    <row r="58" spans="1:15" ht="13.5" thickBot="1" x14ac:dyDescent="0.25">
      <c r="A58" s="164"/>
      <c r="B58" s="164"/>
      <c r="C58" s="164"/>
      <c r="D58" s="164"/>
      <c r="E58" s="164"/>
      <c r="G58" s="33" t="s">
        <v>182</v>
      </c>
      <c r="H58" s="75"/>
      <c r="I58" s="34"/>
      <c r="J58" s="75"/>
      <c r="K58" s="63"/>
      <c r="L58" s="76"/>
      <c r="M58" s="76"/>
    </row>
    <row r="59" spans="1:15" x14ac:dyDescent="0.2">
      <c r="A59" s="164"/>
      <c r="B59" s="164"/>
      <c r="C59" s="164"/>
      <c r="D59" s="164"/>
      <c r="E59" s="164"/>
      <c r="G59" s="123" t="s">
        <v>166</v>
      </c>
      <c r="H59" s="67">
        <f>K22+K23+K24+K27*0.75+K28*0.5+K29*0.5+K30*0.25</f>
        <v>0</v>
      </c>
      <c r="I59" s="68" t="str">
        <f>IFERROR(IF($H$66=0,"",(H59/$H$66)),"")</f>
        <v/>
      </c>
      <c r="J59" s="170">
        <f>IFERROR(IF($H$47="","",((K13*$E$13)/$E$12)+((K14*$E$14)/$E$12)),0)</f>
        <v>0</v>
      </c>
      <c r="K59" s="169">
        <f>IF(J59="","",(H62-J59))</f>
        <v>0</v>
      </c>
      <c r="L59" s="76"/>
      <c r="M59" s="76"/>
    </row>
    <row r="60" spans="1:15" ht="13.5" customHeight="1" x14ac:dyDescent="0.2">
      <c r="A60" s="164"/>
      <c r="B60" s="164"/>
      <c r="C60" s="164"/>
      <c r="D60" s="164"/>
      <c r="E60" s="164"/>
      <c r="F60" s="19"/>
      <c r="G60" s="124" t="s">
        <v>167</v>
      </c>
      <c r="H60" s="62">
        <f>K33+K34*0.5</f>
        <v>0</v>
      </c>
      <c r="I60" s="69" t="str">
        <f>IFERROR(IF($H$66=0,"",(H60/$H$66)),"")</f>
        <v/>
      </c>
      <c r="J60" s="165"/>
      <c r="K60" s="167"/>
      <c r="L60" s="76"/>
      <c r="M60" s="76"/>
    </row>
    <row r="61" spans="1:15" x14ac:dyDescent="0.2">
      <c r="A61" s="164"/>
      <c r="B61" s="164"/>
      <c r="C61" s="164"/>
      <c r="D61" s="164"/>
      <c r="E61" s="164"/>
      <c r="G61" s="124" t="s">
        <v>165</v>
      </c>
      <c r="H61" s="62">
        <f>IFERROR(K31+K25,"")</f>
        <v>0</v>
      </c>
      <c r="I61" s="69" t="str">
        <f>IFERROR(IF($H$66=0,"",(H61/$H$66)),"")</f>
        <v/>
      </c>
      <c r="J61" s="165"/>
      <c r="K61" s="167"/>
      <c r="L61" s="76"/>
      <c r="M61" s="76"/>
    </row>
    <row r="62" spans="1:15" ht="15.75" customHeight="1" thickBot="1" x14ac:dyDescent="0.25">
      <c r="A62" s="164"/>
      <c r="B62" s="164"/>
      <c r="C62" s="164"/>
      <c r="D62" s="164"/>
      <c r="E62" s="164"/>
      <c r="G62" s="125" t="s">
        <v>168</v>
      </c>
      <c r="H62" s="70">
        <f>SUM(H59:H61)</f>
        <v>0</v>
      </c>
      <c r="I62" s="71"/>
      <c r="J62" s="166"/>
      <c r="K62" s="168"/>
      <c r="L62" s="76"/>
      <c r="M62" s="76"/>
    </row>
    <row r="63" spans="1:15" ht="5.25" customHeight="1" thickBot="1" x14ac:dyDescent="0.25">
      <c r="A63" s="164"/>
      <c r="B63" s="164"/>
      <c r="C63" s="164"/>
      <c r="D63" s="164"/>
      <c r="E63" s="164"/>
      <c r="H63" s="63"/>
      <c r="I63" s="63"/>
      <c r="J63" s="63"/>
      <c r="K63" s="63"/>
      <c r="L63" s="76"/>
      <c r="M63" s="76"/>
    </row>
    <row r="64" spans="1:15" ht="12.95" customHeight="1" thickBot="1" x14ac:dyDescent="0.25">
      <c r="A64" s="164"/>
      <c r="B64" s="164"/>
      <c r="C64" s="164"/>
      <c r="D64" s="164"/>
      <c r="E64" s="164"/>
      <c r="G64" s="35" t="s">
        <v>24</v>
      </c>
      <c r="H64" s="72">
        <f>(I37*0.75)+I38</f>
        <v>0</v>
      </c>
      <c r="I64" s="72" t="str">
        <f>IF($H$66=0,"",(H64/$H$66))</f>
        <v/>
      </c>
      <c r="J64" s="72">
        <f>IFERROR(IF(H3="B",(IF(H43=0,0,IF(H43&lt;5,0.252875,IF(H43&lt;13,0.50575,IF(H43&gt;13,0.75863))))+K15*0.0362117)+(IF((J13+J14)&gt;0,0.252875,0)),(IF(H43=0,0,IF(H43&lt;5,0.252875,IF(H43&lt;13,0.50575,IF(H43&gt;13,0.75863))))+K15*0.0210392)+(IF((J13+J14)&gt;0,0.252875,0))),0)</f>
        <v>0</v>
      </c>
      <c r="K64" s="74">
        <f>IF(J64=0,0,(H64-J64))</f>
        <v>0</v>
      </c>
      <c r="L64" s="76"/>
      <c r="M64" s="76"/>
    </row>
    <row r="65" spans="1:195" ht="5.25" customHeight="1" thickBot="1" x14ac:dyDescent="0.25">
      <c r="A65" s="164"/>
      <c r="B65" s="164"/>
      <c r="C65" s="164"/>
      <c r="D65" s="164"/>
      <c r="E65" s="164"/>
      <c r="G65" s="36" t="s">
        <v>26</v>
      </c>
      <c r="H65" s="77">
        <f>IF(H66=0,0,(H55+H62)/(H66-H57))</f>
        <v>0</v>
      </c>
      <c r="I65" s="78"/>
      <c r="J65" s="77">
        <f>IF(J66=0,0,(J52+J59)/(J66-J57))</f>
        <v>0</v>
      </c>
      <c r="K65" s="63"/>
      <c r="L65" s="76"/>
      <c r="M65" s="76"/>
    </row>
    <row r="66" spans="1:195" ht="13.5" thickBot="1" x14ac:dyDescent="0.25">
      <c r="A66" s="164"/>
      <c r="B66" s="164"/>
      <c r="C66" s="164"/>
      <c r="D66" s="164"/>
      <c r="E66" s="164"/>
      <c r="G66" s="139" t="s">
        <v>183</v>
      </c>
      <c r="H66" s="140">
        <f>H55+H62+H57+H64</f>
        <v>0</v>
      </c>
      <c r="I66" s="141"/>
      <c r="J66" s="140">
        <f>IFERROR(J52+J59+J64+J57,0)</f>
        <v>0</v>
      </c>
      <c r="K66" s="74">
        <f>IF(J66="","",(H66-J66))</f>
        <v>0</v>
      </c>
      <c r="L66" s="76"/>
      <c r="M66" s="76"/>
    </row>
    <row r="67" spans="1:195" x14ac:dyDescent="0.2">
      <c r="H67" s="143" t="str">
        <f>IFERROR(IF(H65="","",(IF(OR(((H65)&lt;(J65-0.05)),((H65)&gt;(J65+0.05))),"Achtung, Missverhältnis",""))),"")</f>
        <v/>
      </c>
      <c r="L67" s="76"/>
      <c r="M67" s="76"/>
    </row>
    <row r="72" spans="1:195" x14ac:dyDescent="0.2">
      <c r="F72" s="79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81"/>
      <c r="DS72" s="82"/>
      <c r="DT72" s="81"/>
      <c r="DU72" s="81"/>
      <c r="DV72" s="82"/>
      <c r="DW72" s="82"/>
      <c r="DX72" s="82"/>
      <c r="DY72" s="82"/>
      <c r="DZ72" s="82"/>
      <c r="EA72" s="63"/>
      <c r="EB72" s="81"/>
      <c r="EC72" s="63"/>
      <c r="ED72" s="81"/>
      <c r="EE72" s="81"/>
      <c r="EF72" s="81"/>
      <c r="EG72" s="81"/>
      <c r="EH72" s="82"/>
      <c r="EI72" s="82"/>
      <c r="EJ72" s="82"/>
      <c r="EK72" s="82"/>
      <c r="EL72" s="82"/>
      <c r="EM72" s="82"/>
      <c r="EN72" s="81"/>
      <c r="EO72" s="81"/>
      <c r="EP72" s="63"/>
      <c r="EQ72" s="81"/>
      <c r="ER72" s="63"/>
      <c r="ES72" s="81"/>
      <c r="ET72" s="81"/>
      <c r="EU72" s="81"/>
      <c r="EV72" s="81"/>
      <c r="EW72" s="81"/>
      <c r="EX72" s="81"/>
      <c r="EY72" s="81"/>
      <c r="EZ72" s="81"/>
      <c r="FA72" s="80"/>
      <c r="FB72" s="80"/>
      <c r="FC72" s="80"/>
      <c r="FD72" s="80"/>
      <c r="FE72" s="80"/>
      <c r="FF72" s="81"/>
      <c r="FG72" s="80"/>
      <c r="FH72" s="80"/>
      <c r="FI72" s="80"/>
      <c r="FJ72" s="80"/>
      <c r="FK72" s="80"/>
      <c r="FL72" s="80"/>
      <c r="FM72" s="83"/>
      <c r="FN72" s="80"/>
      <c r="FO72" s="80"/>
      <c r="FP72" s="80"/>
      <c r="FQ72" s="83"/>
      <c r="FR72" s="80"/>
      <c r="FS72" s="80"/>
      <c r="FT72" s="80"/>
      <c r="FU72" s="80"/>
      <c r="FV72" s="80"/>
      <c r="FW72" s="80"/>
      <c r="FX72" s="80"/>
      <c r="FY72" s="80"/>
      <c r="FZ72" s="80"/>
      <c r="GA72" s="80"/>
      <c r="GB72" s="80"/>
      <c r="GC72" s="80"/>
      <c r="GD72" s="83"/>
      <c r="GE72" s="80"/>
      <c r="GF72" s="80"/>
      <c r="GG72" s="80"/>
      <c r="GH72" s="80"/>
      <c r="GI72" s="80"/>
      <c r="GJ72" s="80"/>
      <c r="GK72" s="80"/>
      <c r="GL72" s="81"/>
      <c r="GM72" s="89"/>
    </row>
    <row r="73" spans="1:195" x14ac:dyDescent="0.2">
      <c r="G73" s="79"/>
      <c r="H73" s="79"/>
      <c r="I73" s="63"/>
      <c r="J73" s="63"/>
      <c r="K73" s="63"/>
      <c r="L73" s="63"/>
      <c r="M73" s="63"/>
      <c r="N73" s="63"/>
      <c r="O73" s="63"/>
    </row>
  </sheetData>
  <sheetProtection algorithmName="SHA-512" hashValue="Iq26Zdtz7pKVsZvbTOhnZ1kNswG2HKyvuSQkfRNy4G6E34MXNRMgluutyev8aSexCaKa/+CZkR76lh3JCWILsg==" saltValue="qYLJcGWouFUlqehcXeTcQwCOuWsbRVS5r7HGww7ENR1eReehijVfnU5dZFSgvXs00Yoho8mg3Ai4szbTXLQXDbqaiMfuXyyVn2h3G+57K9lKfCTE/3Fl9pHxnqZ2YWx9PNjHzuqQKWdcHGay+YPAwPcIPXozetzFcP30KZQEBrvJE62vafP06ulCXUGerCGNGNd6jYshY0+emxFCfEMSwqFaAbeYryRVc0nzjr3RWrCyWiktSjHR9Y4xlPF480ZNS3w7hP/cAJWSacVyX7XGzDhf/+YgLUuKg9M/x4jbhRnxgXW9aVyLiZC2ARIFcnV5qG6mpdgXBYg049xwHc2iCw==" spinCount="100000" sheet="1" selectLockedCells="1"/>
  <protectedRanges>
    <protectedRange sqref="E27:E40 C41:E41 C28:D40" name="Bereich1"/>
    <protectedRange sqref="C27:D27 C21:C26" name="Bereich1_1"/>
    <protectedRange sqref="D21:D26" name="Bereich1_1_1"/>
    <protectedRange sqref="E21:E26" name="Bereich1_2"/>
  </protectedRanges>
  <mergeCells count="29">
    <mergeCell ref="A16:D16"/>
    <mergeCell ref="G16:K16"/>
    <mergeCell ref="G17:K17"/>
    <mergeCell ref="J50:J51"/>
    <mergeCell ref="K50:K51"/>
    <mergeCell ref="A17:D17"/>
    <mergeCell ref="J20:K20"/>
    <mergeCell ref="H20:I20"/>
    <mergeCell ref="I50:I51"/>
    <mergeCell ref="H50:H51"/>
    <mergeCell ref="A43:E66"/>
    <mergeCell ref="J52:J55"/>
    <mergeCell ref="K52:K55"/>
    <mergeCell ref="K59:K62"/>
    <mergeCell ref="J59:J62"/>
    <mergeCell ref="A13:D13"/>
    <mergeCell ref="A14:D14"/>
    <mergeCell ref="A15:D15"/>
    <mergeCell ref="G13:I13"/>
    <mergeCell ref="G15:I15"/>
    <mergeCell ref="G14:I14"/>
    <mergeCell ref="A5:D5"/>
    <mergeCell ref="A11:D11"/>
    <mergeCell ref="A12:D12"/>
    <mergeCell ref="B10:E10"/>
    <mergeCell ref="E7:K7"/>
    <mergeCell ref="G11:I11"/>
    <mergeCell ref="G12:I12"/>
    <mergeCell ref="H4:K5"/>
  </mergeCells>
  <phoneticPr fontId="2" type="noConversion"/>
  <conditionalFormatting sqref="K57 K64 K66 K59 K52">
    <cfRule type="cellIs" dxfId="1" priority="1" stopIfTrue="1" operator="lessThan">
      <formula>0</formula>
    </cfRule>
    <cfRule type="cellIs" dxfId="0" priority="2" stopIfTrue="1" operator="greaterThan">
      <formula>0.01</formula>
    </cfRule>
  </conditionalFormatting>
  <dataValidations count="1">
    <dataValidation type="list" allowBlank="1" showInputMessage="1" showErrorMessage="1" sqref="B41" xr:uid="{00000000-0002-0000-0000-000000000000}">
      <formula1>$B$55:$B$58</formula1>
    </dataValidation>
  </dataValidations>
  <pageMargins left="0.23" right="0.19" top="0.18" bottom="0.21" header="0.18" footer="0.19685039370078741"/>
  <pageSetup paperSize="9" scale="61" orientation="landscape" r:id="rId1"/>
  <headerFooter alignWithMargins="0"/>
  <ignoredErrors>
    <ignoredError sqref="K66" 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Institutionen!$A$2:$A$72</xm:f>
          </x14:formula1>
          <xm:sqref>C7</xm:sqref>
        </x14:dataValidation>
        <x14:dataValidation type="list" allowBlank="1" showInputMessage="1" showErrorMessage="1" xr:uid="{00000000-0002-0000-0000-000002000000}">
          <x14:formula1>
            <xm:f>Institutionen!$G$2:$G$6</xm:f>
          </x14:formula1>
          <xm:sqref>B21:B40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G38"/>
  <sheetViews>
    <sheetView showGridLines="0" topLeftCell="A5" zoomScaleNormal="100" workbookViewId="0">
      <selection activeCell="B24" sqref="B24"/>
    </sheetView>
  </sheetViews>
  <sheetFormatPr baseColWidth="10" defaultRowHeight="12.75" x14ac:dyDescent="0.2"/>
  <cols>
    <col min="2" max="7" width="15.7109375" customWidth="1"/>
  </cols>
  <sheetData>
    <row r="1" spans="1:7" x14ac:dyDescent="0.2">
      <c r="A1" s="116" t="s">
        <v>155</v>
      </c>
      <c r="B1" s="113"/>
      <c r="C1" s="113"/>
      <c r="D1" s="113"/>
    </row>
    <row r="2" spans="1:7" x14ac:dyDescent="0.2">
      <c r="A2" t="s">
        <v>188</v>
      </c>
    </row>
    <row r="4" spans="1:7" x14ac:dyDescent="0.2">
      <c r="A4" s="113" t="s">
        <v>187</v>
      </c>
    </row>
    <row r="7" spans="1:7" ht="39" thickBot="1" x14ac:dyDescent="0.3">
      <c r="A7" s="44"/>
      <c r="B7" s="104" t="s">
        <v>2</v>
      </c>
      <c r="C7" s="104" t="s">
        <v>7</v>
      </c>
      <c r="D7" s="104" t="s">
        <v>106</v>
      </c>
      <c r="E7" s="104" t="s">
        <v>107</v>
      </c>
      <c r="F7" s="104" t="s">
        <v>25</v>
      </c>
      <c r="G7" s="104" t="s">
        <v>31</v>
      </c>
    </row>
    <row r="8" spans="1:7" ht="15.75" thickBot="1" x14ac:dyDescent="0.3">
      <c r="A8" s="45" t="s">
        <v>9</v>
      </c>
      <c r="B8" s="46">
        <v>36</v>
      </c>
      <c r="C8" s="47">
        <v>27.3</v>
      </c>
      <c r="D8" s="93">
        <v>7.2612539999999992</v>
      </c>
      <c r="E8" s="94">
        <v>6.6627989999999988</v>
      </c>
      <c r="F8" s="48">
        <v>0.95</v>
      </c>
      <c r="G8" s="49">
        <v>7.3</v>
      </c>
    </row>
    <row r="9" spans="1:7" ht="15.75" thickBot="1" x14ac:dyDescent="0.3">
      <c r="A9" s="50" t="s">
        <v>59</v>
      </c>
      <c r="B9" s="46">
        <v>36</v>
      </c>
      <c r="C9" s="47">
        <v>27.3</v>
      </c>
      <c r="D9" s="93">
        <v>14.921478</v>
      </c>
      <c r="E9" s="94">
        <v>12.128688</v>
      </c>
      <c r="F9" s="48">
        <v>0.95</v>
      </c>
      <c r="G9" s="49">
        <v>6.1</v>
      </c>
    </row>
    <row r="10" spans="1:7" ht="15.75" thickBot="1" x14ac:dyDescent="0.3">
      <c r="A10" s="51" t="s">
        <v>60</v>
      </c>
      <c r="B10" s="46">
        <v>36</v>
      </c>
      <c r="C10" s="47">
        <v>27.3</v>
      </c>
      <c r="D10" s="93">
        <v>10.37322</v>
      </c>
      <c r="E10" s="94">
        <v>8.9768249999999998</v>
      </c>
      <c r="F10" s="48">
        <v>0.95</v>
      </c>
      <c r="G10" s="49">
        <v>6.2</v>
      </c>
    </row>
    <row r="13" spans="1:7" x14ac:dyDescent="0.2">
      <c r="A13" s="114" t="s">
        <v>156</v>
      </c>
      <c r="B13" s="115"/>
      <c r="C13" s="114"/>
    </row>
    <row r="14" spans="1:7" x14ac:dyDescent="0.2">
      <c r="A14" s="114"/>
      <c r="B14" s="115"/>
      <c r="C14" s="114"/>
    </row>
    <row r="15" spans="1:7" ht="13.5" thickBot="1" x14ac:dyDescent="0.25">
      <c r="A15" s="112"/>
      <c r="B15" s="122" t="s">
        <v>161</v>
      </c>
    </row>
    <row r="16" spans="1:7" ht="15.75" thickBot="1" x14ac:dyDescent="0.3">
      <c r="A16" s="45" t="s">
        <v>9</v>
      </c>
      <c r="B16" s="105">
        <v>0.04</v>
      </c>
      <c r="C16" s="171"/>
    </row>
    <row r="17" spans="1:7" ht="15.75" thickBot="1" x14ac:dyDescent="0.3">
      <c r="A17" s="50" t="s">
        <v>59</v>
      </c>
      <c r="B17" s="105">
        <v>0.04</v>
      </c>
      <c r="C17" s="171"/>
    </row>
    <row r="18" spans="1:7" ht="15.75" thickBot="1" x14ac:dyDescent="0.3">
      <c r="A18" s="51" t="s">
        <v>60</v>
      </c>
      <c r="B18" s="105">
        <v>0.04</v>
      </c>
      <c r="C18" s="171"/>
    </row>
    <row r="21" spans="1:7" x14ac:dyDescent="0.2">
      <c r="A21" s="113" t="s">
        <v>154</v>
      </c>
      <c r="B21" s="113"/>
    </row>
    <row r="23" spans="1:7" x14ac:dyDescent="0.2">
      <c r="B23" s="120" t="s">
        <v>153</v>
      </c>
      <c r="C23" s="120" t="s">
        <v>153</v>
      </c>
      <c r="D23" s="120" t="s">
        <v>153</v>
      </c>
      <c r="E23" s="120" t="s">
        <v>161</v>
      </c>
      <c r="F23" s="121"/>
    </row>
    <row r="24" spans="1:7" x14ac:dyDescent="0.2">
      <c r="B24" s="120" t="s">
        <v>290</v>
      </c>
      <c r="C24" s="120" t="s">
        <v>157</v>
      </c>
      <c r="D24" s="120" t="s">
        <v>158</v>
      </c>
      <c r="E24" s="120" t="s">
        <v>160</v>
      </c>
      <c r="F24" s="121"/>
    </row>
    <row r="25" spans="1:7" ht="13.5" thickBot="1" x14ac:dyDescent="0.25">
      <c r="B25" s="120"/>
      <c r="C25" s="120" t="s">
        <v>159</v>
      </c>
      <c r="D25" s="120" t="s">
        <v>159</v>
      </c>
      <c r="E25" s="120"/>
      <c r="F25" s="121"/>
    </row>
    <row r="26" spans="1:7" ht="15.75" thickBot="1" x14ac:dyDescent="0.3">
      <c r="A26" s="117" t="s">
        <v>9</v>
      </c>
      <c r="B26" s="121">
        <v>0.25290000000000001</v>
      </c>
      <c r="C26" s="121">
        <v>0.25290000000000001</v>
      </c>
      <c r="D26" s="121">
        <v>0.25290000000000001</v>
      </c>
      <c r="E26" s="121">
        <v>2.1000000000000001E-2</v>
      </c>
      <c r="F26" s="121"/>
    </row>
    <row r="27" spans="1:7" ht="15.75" thickBot="1" x14ac:dyDescent="0.3">
      <c r="A27" s="118" t="s">
        <v>59</v>
      </c>
      <c r="B27" s="121">
        <v>0.25290000000000001</v>
      </c>
      <c r="C27" s="121">
        <v>0.25290000000000001</v>
      </c>
      <c r="D27" s="121">
        <v>0.25290000000000001</v>
      </c>
      <c r="E27" s="121">
        <v>3.6200000000000003E-2</v>
      </c>
      <c r="F27" s="121"/>
    </row>
    <row r="28" spans="1:7" ht="15.75" thickBot="1" x14ac:dyDescent="0.3">
      <c r="A28" s="119" t="s">
        <v>60</v>
      </c>
      <c r="B28" s="121">
        <v>0.25290000000000001</v>
      </c>
      <c r="C28" s="121">
        <v>0.25290000000000001</v>
      </c>
      <c r="D28" s="121">
        <v>0.25290000000000001</v>
      </c>
      <c r="E28" s="121">
        <v>2.1000000000000001E-2</v>
      </c>
      <c r="F28" s="121"/>
    </row>
    <row r="30" spans="1:7" x14ac:dyDescent="0.2">
      <c r="A30" s="128" t="s">
        <v>185</v>
      </c>
      <c r="B30" s="128"/>
      <c r="C30" s="128"/>
      <c r="D30" s="128"/>
      <c r="E30" s="128"/>
      <c r="F30" s="128"/>
      <c r="G30" s="128"/>
    </row>
    <row r="33" spans="1:2" x14ac:dyDescent="0.2">
      <c r="A33" s="113" t="s">
        <v>190</v>
      </c>
    </row>
    <row r="35" spans="1:2" ht="13.5" thickBot="1" x14ac:dyDescent="0.25">
      <c r="A35" s="112"/>
      <c r="B35" s="122" t="s">
        <v>189</v>
      </c>
    </row>
    <row r="36" spans="1:2" ht="15.75" thickBot="1" x14ac:dyDescent="0.3">
      <c r="A36" s="45" t="s">
        <v>9</v>
      </c>
      <c r="B36" s="129">
        <v>0.22</v>
      </c>
    </row>
    <row r="37" spans="1:2" ht="15.75" thickBot="1" x14ac:dyDescent="0.3">
      <c r="A37" s="50" t="s">
        <v>59</v>
      </c>
      <c r="B37" s="129">
        <v>0.14000000000000001</v>
      </c>
    </row>
    <row r="38" spans="1:2" ht="15.75" thickBot="1" x14ac:dyDescent="0.3">
      <c r="A38" s="51" t="s">
        <v>60</v>
      </c>
      <c r="B38" s="129">
        <v>0.16</v>
      </c>
    </row>
  </sheetData>
  <sheetProtection algorithmName="SHA-512" hashValue="i1zHXudQc51bdtpNmfU/vCkFBvi2ZQaKw/KXxUMhvKdbnFHT3hQnywZCkUaSwfFSJG8b0U7drDEuPU/87zOSAQ==" saltValue="0VJSAb0ARKx7El7evuFbP0zucXcc7A4UwBgD6pkezewfaIlk1ahTRycXrGe0HGCRHHM5CzjEtmswn2qXN6AfLH9UlveMgW3ceWxp/j0o07HhXc6DhgT5BJzwBcDWWkJDAkCn13eXUDMyK1tXBgC/DcZ249Bhx7DayEhT6ZOHnPm/nzpsoJMn3Q70TWJzD+IFoHYDjhJz0v0Qbs4dd/0N5sYYZR7jtfDM7DNErM24n0dnMcivAVGREMwaCvdmjURiOiZ3GzzoCEE6TpQcFDR8EEZZgqRnOpkVr8vEnENTpUQakWDKloyT07W/SArPJ8RaTdgRRVAQl14ca1aJiY2kbA==" spinCount="100000" sheet="1" selectLockedCells="1"/>
  <mergeCells count="1">
    <mergeCell ref="C16:C18"/>
  </mergeCells>
  <pageMargins left="0.7" right="0.7" top="0.78740157499999996" bottom="0.78740157499999996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72"/>
  <sheetViews>
    <sheetView workbookViewId="0">
      <selection activeCell="B39" sqref="B39"/>
    </sheetView>
  </sheetViews>
  <sheetFormatPr baseColWidth="10" defaultRowHeight="12.75" x14ac:dyDescent="0.2"/>
  <cols>
    <col min="1" max="1" width="9" bestFit="1" customWidth="1"/>
    <col min="2" max="2" width="54.140625" bestFit="1" customWidth="1"/>
    <col min="3" max="3" width="8.5703125" bestFit="1" customWidth="1"/>
    <col min="4" max="4" width="7.140625" bestFit="1" customWidth="1"/>
  </cols>
  <sheetData>
    <row r="1" spans="1:7" s="112" customFormat="1" ht="15" x14ac:dyDescent="0.25">
      <c r="A1" s="134" t="s">
        <v>61</v>
      </c>
      <c r="B1" s="134" t="s">
        <v>62</v>
      </c>
      <c r="C1" s="135" t="s">
        <v>63</v>
      </c>
      <c r="D1" s="134" t="s">
        <v>64</v>
      </c>
      <c r="G1" s="144" t="s">
        <v>285</v>
      </c>
    </row>
    <row r="2" spans="1:7" x14ac:dyDescent="0.2">
      <c r="A2" s="130" t="s">
        <v>191</v>
      </c>
      <c r="B2" s="130" t="s">
        <v>112</v>
      </c>
      <c r="C2" s="132" t="s">
        <v>113</v>
      </c>
      <c r="D2" s="132" t="s">
        <v>9</v>
      </c>
      <c r="G2" s="121" t="s">
        <v>286</v>
      </c>
    </row>
    <row r="3" spans="1:7" x14ac:dyDescent="0.2">
      <c r="A3" s="130" t="s">
        <v>192</v>
      </c>
      <c r="B3" s="130" t="s">
        <v>114</v>
      </c>
      <c r="C3" s="132" t="s">
        <v>113</v>
      </c>
      <c r="D3" s="132" t="s">
        <v>9</v>
      </c>
      <c r="G3" s="121" t="s">
        <v>287</v>
      </c>
    </row>
    <row r="4" spans="1:7" x14ac:dyDescent="0.2">
      <c r="A4" s="130" t="s">
        <v>193</v>
      </c>
      <c r="B4" s="130" t="s">
        <v>115</v>
      </c>
      <c r="C4" s="132" t="s">
        <v>113</v>
      </c>
      <c r="D4" s="132" t="s">
        <v>9</v>
      </c>
      <c r="G4" s="121" t="s">
        <v>288</v>
      </c>
    </row>
    <row r="5" spans="1:7" x14ac:dyDescent="0.2">
      <c r="A5" s="130" t="s">
        <v>194</v>
      </c>
      <c r="B5" s="130" t="s">
        <v>116</v>
      </c>
      <c r="C5" s="132" t="s">
        <v>113</v>
      </c>
      <c r="D5" s="132" t="s">
        <v>9</v>
      </c>
      <c r="G5" s="121" t="s">
        <v>289</v>
      </c>
    </row>
    <row r="6" spans="1:7" x14ac:dyDescent="0.2">
      <c r="A6" s="130" t="s">
        <v>195</v>
      </c>
      <c r="B6" s="130" t="s">
        <v>117</v>
      </c>
      <c r="C6" s="132" t="s">
        <v>113</v>
      </c>
      <c r="D6" s="132" t="s">
        <v>9</v>
      </c>
      <c r="G6" s="121"/>
    </row>
    <row r="7" spans="1:7" x14ac:dyDescent="0.2">
      <c r="A7" s="130" t="s">
        <v>196</v>
      </c>
      <c r="B7" s="130" t="s">
        <v>118</v>
      </c>
      <c r="C7" s="132" t="s">
        <v>113</v>
      </c>
      <c r="D7" s="132" t="s">
        <v>9</v>
      </c>
    </row>
    <row r="8" spans="1:7" x14ac:dyDescent="0.2">
      <c r="A8" s="130" t="s">
        <v>197</v>
      </c>
      <c r="B8" s="130" t="s">
        <v>119</v>
      </c>
      <c r="C8" s="132" t="s">
        <v>113</v>
      </c>
      <c r="D8" s="132" t="s">
        <v>9</v>
      </c>
    </row>
    <row r="9" spans="1:7" x14ac:dyDescent="0.2">
      <c r="A9" s="130" t="s">
        <v>198</v>
      </c>
      <c r="B9" s="130" t="s">
        <v>199</v>
      </c>
      <c r="C9" s="132" t="s">
        <v>113</v>
      </c>
      <c r="D9" s="132" t="s">
        <v>9</v>
      </c>
    </row>
    <row r="10" spans="1:7" x14ac:dyDescent="0.2">
      <c r="A10" s="130" t="s">
        <v>200</v>
      </c>
      <c r="B10" s="130" t="s">
        <v>201</v>
      </c>
      <c r="C10" s="132" t="s">
        <v>113</v>
      </c>
      <c r="D10" s="132" t="s">
        <v>9</v>
      </c>
    </row>
    <row r="11" spans="1:7" x14ac:dyDescent="0.2">
      <c r="A11" s="130" t="s">
        <v>202</v>
      </c>
      <c r="B11" s="130" t="s">
        <v>203</v>
      </c>
      <c r="C11" s="132" t="s">
        <v>65</v>
      </c>
      <c r="D11" s="132" t="s">
        <v>9</v>
      </c>
    </row>
    <row r="12" spans="1:7" x14ac:dyDescent="0.2">
      <c r="A12" s="130" t="s">
        <v>204</v>
      </c>
      <c r="B12" s="130" t="s">
        <v>120</v>
      </c>
      <c r="C12" s="133" t="s">
        <v>66</v>
      </c>
      <c r="D12" s="133" t="s">
        <v>59</v>
      </c>
    </row>
    <row r="13" spans="1:7" x14ac:dyDescent="0.2">
      <c r="A13" s="130" t="s">
        <v>205</v>
      </c>
      <c r="B13" s="130" t="s">
        <v>67</v>
      </c>
      <c r="C13" s="132" t="s">
        <v>65</v>
      </c>
      <c r="D13" s="132" t="s">
        <v>60</v>
      </c>
    </row>
    <row r="14" spans="1:7" x14ac:dyDescent="0.2">
      <c r="A14" s="130" t="s">
        <v>206</v>
      </c>
      <c r="B14" s="130" t="s">
        <v>68</v>
      </c>
      <c r="C14" s="132" t="s">
        <v>66</v>
      </c>
      <c r="D14" s="132" t="s">
        <v>60</v>
      </c>
    </row>
    <row r="15" spans="1:7" x14ac:dyDescent="0.2">
      <c r="A15" s="130" t="s">
        <v>207</v>
      </c>
      <c r="B15" s="130" t="s">
        <v>121</v>
      </c>
      <c r="C15" s="132" t="s">
        <v>113</v>
      </c>
      <c r="D15" s="132" t="s">
        <v>60</v>
      </c>
    </row>
    <row r="16" spans="1:7" x14ac:dyDescent="0.2">
      <c r="A16" s="130" t="s">
        <v>208</v>
      </c>
      <c r="B16" s="130" t="s">
        <v>122</v>
      </c>
      <c r="C16" s="132" t="s">
        <v>113</v>
      </c>
      <c r="D16" s="132" t="s">
        <v>59</v>
      </c>
    </row>
    <row r="17" spans="1:4" x14ac:dyDescent="0.2">
      <c r="A17" s="130" t="s">
        <v>209</v>
      </c>
      <c r="B17" s="130" t="s">
        <v>123</v>
      </c>
      <c r="C17" s="132" t="s">
        <v>113</v>
      </c>
      <c r="D17" s="132" t="s">
        <v>59</v>
      </c>
    </row>
    <row r="18" spans="1:4" x14ac:dyDescent="0.2">
      <c r="A18" s="130" t="s">
        <v>210</v>
      </c>
      <c r="B18" s="130" t="s">
        <v>124</v>
      </c>
      <c r="C18" s="132" t="s">
        <v>113</v>
      </c>
      <c r="D18" s="132" t="s">
        <v>9</v>
      </c>
    </row>
    <row r="19" spans="1:4" x14ac:dyDescent="0.2">
      <c r="A19" s="130" t="s">
        <v>211</v>
      </c>
      <c r="B19" s="130" t="s">
        <v>125</v>
      </c>
      <c r="C19" s="132" t="s">
        <v>113</v>
      </c>
      <c r="D19" s="132" t="s">
        <v>9</v>
      </c>
    </row>
    <row r="20" spans="1:4" x14ac:dyDescent="0.2">
      <c r="A20" s="130" t="s">
        <v>212</v>
      </c>
      <c r="B20" s="130" t="s">
        <v>126</v>
      </c>
      <c r="C20" s="132" t="s">
        <v>113</v>
      </c>
      <c r="D20" s="132" t="s">
        <v>60</v>
      </c>
    </row>
    <row r="21" spans="1:4" x14ac:dyDescent="0.2">
      <c r="A21" s="130" t="s">
        <v>213</v>
      </c>
      <c r="B21" s="130" t="s">
        <v>127</v>
      </c>
      <c r="C21" s="132" t="s">
        <v>113</v>
      </c>
      <c r="D21" s="132" t="s">
        <v>59</v>
      </c>
    </row>
    <row r="22" spans="1:4" x14ac:dyDescent="0.2">
      <c r="A22" s="130" t="s">
        <v>214</v>
      </c>
      <c r="B22" s="130" t="s">
        <v>128</v>
      </c>
      <c r="C22" s="131" t="s">
        <v>113</v>
      </c>
      <c r="D22" s="131" t="s">
        <v>59</v>
      </c>
    </row>
    <row r="23" spans="1:4" ht="12.6" customHeight="1" x14ac:dyDescent="0.2">
      <c r="A23" s="130" t="s">
        <v>215</v>
      </c>
      <c r="B23" s="130" t="s">
        <v>216</v>
      </c>
      <c r="C23" s="131" t="s">
        <v>65</v>
      </c>
      <c r="D23" s="131" t="s">
        <v>9</v>
      </c>
    </row>
    <row r="24" spans="1:4" x14ac:dyDescent="0.2">
      <c r="A24" s="130" t="s">
        <v>217</v>
      </c>
      <c r="B24" s="130" t="s">
        <v>69</v>
      </c>
      <c r="C24" s="132" t="s">
        <v>65</v>
      </c>
      <c r="D24" s="132" t="s">
        <v>59</v>
      </c>
    </row>
    <row r="25" spans="1:4" x14ac:dyDescent="0.2">
      <c r="A25" s="130" t="s">
        <v>218</v>
      </c>
      <c r="B25" s="130" t="s">
        <v>70</v>
      </c>
      <c r="C25" s="132" t="s">
        <v>65</v>
      </c>
      <c r="D25" s="132" t="s">
        <v>60</v>
      </c>
    </row>
    <row r="26" spans="1:4" x14ac:dyDescent="0.2">
      <c r="A26" s="130" t="s">
        <v>219</v>
      </c>
      <c r="B26" s="130" t="s">
        <v>71</v>
      </c>
      <c r="C26" s="132" t="s">
        <v>65</v>
      </c>
      <c r="D26" s="132" t="s">
        <v>9</v>
      </c>
    </row>
    <row r="27" spans="1:4" x14ac:dyDescent="0.2">
      <c r="A27" s="130" t="s">
        <v>220</v>
      </c>
      <c r="B27" s="130" t="s">
        <v>72</v>
      </c>
      <c r="C27" s="132" t="s">
        <v>66</v>
      </c>
      <c r="D27" s="132" t="s">
        <v>9</v>
      </c>
    </row>
    <row r="28" spans="1:4" x14ac:dyDescent="0.2">
      <c r="A28" s="130" t="s">
        <v>221</v>
      </c>
      <c r="B28" s="130" t="s">
        <v>73</v>
      </c>
      <c r="C28" s="132" t="s">
        <v>65</v>
      </c>
      <c r="D28" s="132" t="s">
        <v>9</v>
      </c>
    </row>
    <row r="29" spans="1:4" x14ac:dyDescent="0.2">
      <c r="A29" s="130" t="s">
        <v>222</v>
      </c>
      <c r="B29" s="130" t="s">
        <v>74</v>
      </c>
      <c r="C29" s="132" t="s">
        <v>66</v>
      </c>
      <c r="D29" s="132" t="s">
        <v>60</v>
      </c>
    </row>
    <row r="30" spans="1:4" x14ac:dyDescent="0.2">
      <c r="A30" s="130" t="s">
        <v>223</v>
      </c>
      <c r="B30" s="130" t="s">
        <v>75</v>
      </c>
      <c r="C30" s="132" t="s">
        <v>65</v>
      </c>
      <c r="D30" s="132" t="s">
        <v>9</v>
      </c>
    </row>
    <row r="31" spans="1:4" x14ac:dyDescent="0.2">
      <c r="A31" s="130" t="s">
        <v>224</v>
      </c>
      <c r="B31" s="130" t="s">
        <v>76</v>
      </c>
      <c r="C31" s="132" t="s">
        <v>65</v>
      </c>
      <c r="D31" s="132" t="s">
        <v>9</v>
      </c>
    </row>
    <row r="32" spans="1:4" x14ac:dyDescent="0.2">
      <c r="A32" s="130" t="s">
        <v>225</v>
      </c>
      <c r="B32" s="130" t="s">
        <v>129</v>
      </c>
      <c r="C32" s="132" t="s">
        <v>113</v>
      </c>
      <c r="D32" s="132" t="s">
        <v>59</v>
      </c>
    </row>
    <row r="33" spans="1:4" x14ac:dyDescent="0.2">
      <c r="A33" s="130" t="s">
        <v>226</v>
      </c>
      <c r="B33" s="130" t="s">
        <v>77</v>
      </c>
      <c r="C33" s="132" t="s">
        <v>66</v>
      </c>
      <c r="D33" s="132" t="s">
        <v>60</v>
      </c>
    </row>
    <row r="34" spans="1:4" x14ac:dyDescent="0.2">
      <c r="A34" s="130" t="s">
        <v>227</v>
      </c>
      <c r="B34" s="130" t="s">
        <v>228</v>
      </c>
      <c r="C34" s="132" t="s">
        <v>66</v>
      </c>
      <c r="D34" s="132" t="s">
        <v>59</v>
      </c>
    </row>
    <row r="35" spans="1:4" x14ac:dyDescent="0.2">
      <c r="A35" s="130" t="s">
        <v>229</v>
      </c>
      <c r="B35" s="130" t="s">
        <v>78</v>
      </c>
      <c r="C35" s="132" t="s">
        <v>65</v>
      </c>
      <c r="D35" s="132" t="s">
        <v>9</v>
      </c>
    </row>
    <row r="36" spans="1:4" x14ac:dyDescent="0.2">
      <c r="A36" s="130" t="s">
        <v>230</v>
      </c>
      <c r="B36" s="130" t="s">
        <v>130</v>
      </c>
      <c r="C36" s="133" t="s">
        <v>65</v>
      </c>
      <c r="D36" s="133" t="s">
        <v>131</v>
      </c>
    </row>
    <row r="37" spans="1:4" x14ac:dyDescent="0.2">
      <c r="A37" s="130" t="s">
        <v>231</v>
      </c>
      <c r="B37" s="130" t="s">
        <v>132</v>
      </c>
      <c r="C37" s="132" t="s">
        <v>65</v>
      </c>
      <c r="D37" s="133" t="s">
        <v>59</v>
      </c>
    </row>
    <row r="38" spans="1:4" x14ac:dyDescent="0.2">
      <c r="A38" s="130" t="s">
        <v>232</v>
      </c>
      <c r="B38" s="130" t="s">
        <v>79</v>
      </c>
      <c r="C38" s="132" t="s">
        <v>65</v>
      </c>
      <c r="D38" s="132" t="s">
        <v>9</v>
      </c>
    </row>
    <row r="39" spans="1:4" x14ac:dyDescent="0.2">
      <c r="A39" s="130" t="s">
        <v>233</v>
      </c>
      <c r="B39" s="130" t="s">
        <v>133</v>
      </c>
      <c r="C39" s="132" t="s">
        <v>65</v>
      </c>
      <c r="D39" s="132" t="s">
        <v>9</v>
      </c>
    </row>
    <row r="40" spans="1:4" x14ac:dyDescent="0.2">
      <c r="A40" s="130" t="s">
        <v>234</v>
      </c>
      <c r="B40" s="130" t="s">
        <v>80</v>
      </c>
      <c r="C40" s="132" t="s">
        <v>65</v>
      </c>
      <c r="D40" s="132" t="s">
        <v>9</v>
      </c>
    </row>
    <row r="41" spans="1:4" x14ac:dyDescent="0.2">
      <c r="A41" s="130" t="s">
        <v>235</v>
      </c>
      <c r="B41" s="130" t="s">
        <v>134</v>
      </c>
      <c r="C41" s="132" t="s">
        <v>65</v>
      </c>
      <c r="D41" s="132" t="s">
        <v>9</v>
      </c>
    </row>
    <row r="42" spans="1:4" x14ac:dyDescent="0.2">
      <c r="A42" s="130" t="s">
        <v>236</v>
      </c>
      <c r="B42" s="130" t="s">
        <v>237</v>
      </c>
      <c r="C42" s="132" t="s">
        <v>65</v>
      </c>
      <c r="D42" s="132" t="s">
        <v>59</v>
      </c>
    </row>
    <row r="43" spans="1:4" x14ac:dyDescent="0.2">
      <c r="A43" s="130" t="s">
        <v>238</v>
      </c>
      <c r="B43" s="130" t="s">
        <v>239</v>
      </c>
      <c r="C43" s="132" t="s">
        <v>65</v>
      </c>
      <c r="D43" s="132" t="s">
        <v>9</v>
      </c>
    </row>
    <row r="44" spans="1:4" x14ac:dyDescent="0.2">
      <c r="A44" s="130" t="s">
        <v>240</v>
      </c>
      <c r="B44" s="130" t="s">
        <v>81</v>
      </c>
      <c r="C44" s="132" t="s">
        <v>65</v>
      </c>
      <c r="D44" s="132" t="s">
        <v>9</v>
      </c>
    </row>
    <row r="45" spans="1:4" x14ac:dyDescent="0.2">
      <c r="A45" s="130" t="s">
        <v>241</v>
      </c>
      <c r="B45" s="130" t="s">
        <v>82</v>
      </c>
      <c r="C45" s="132" t="s">
        <v>65</v>
      </c>
      <c r="D45" s="132" t="s">
        <v>9</v>
      </c>
    </row>
    <row r="46" spans="1:4" x14ac:dyDescent="0.2">
      <c r="A46" s="130" t="s">
        <v>242</v>
      </c>
      <c r="B46" s="130" t="s">
        <v>83</v>
      </c>
      <c r="C46" s="132" t="s">
        <v>65</v>
      </c>
      <c r="D46" s="132" t="s">
        <v>9</v>
      </c>
    </row>
    <row r="47" spans="1:4" x14ac:dyDescent="0.2">
      <c r="A47" s="130" t="s">
        <v>243</v>
      </c>
      <c r="B47" s="130" t="s">
        <v>84</v>
      </c>
      <c r="C47" s="132" t="s">
        <v>65</v>
      </c>
      <c r="D47" s="132" t="s">
        <v>60</v>
      </c>
    </row>
    <row r="48" spans="1:4" x14ac:dyDescent="0.2">
      <c r="A48" s="130" t="s">
        <v>244</v>
      </c>
      <c r="B48" s="130" t="s">
        <v>85</v>
      </c>
      <c r="C48" s="132" t="s">
        <v>65</v>
      </c>
      <c r="D48" s="132" t="s">
        <v>9</v>
      </c>
    </row>
    <row r="49" spans="1:4" x14ac:dyDescent="0.2">
      <c r="A49" s="130" t="s">
        <v>245</v>
      </c>
      <c r="B49" s="130" t="s">
        <v>86</v>
      </c>
      <c r="C49" s="132" t="s">
        <v>65</v>
      </c>
      <c r="D49" s="132" t="s">
        <v>9</v>
      </c>
    </row>
    <row r="50" spans="1:4" x14ac:dyDescent="0.2">
      <c r="A50" s="130" t="s">
        <v>246</v>
      </c>
      <c r="B50" s="130" t="s">
        <v>87</v>
      </c>
      <c r="C50" s="132" t="s">
        <v>65</v>
      </c>
      <c r="D50" s="132" t="s">
        <v>9</v>
      </c>
    </row>
    <row r="51" spans="1:4" x14ac:dyDescent="0.2">
      <c r="A51" s="130" t="s">
        <v>247</v>
      </c>
      <c r="B51" s="130" t="s">
        <v>88</v>
      </c>
      <c r="C51" s="132" t="s">
        <v>65</v>
      </c>
      <c r="D51" s="132" t="s">
        <v>9</v>
      </c>
    </row>
    <row r="52" spans="1:4" x14ac:dyDescent="0.2">
      <c r="A52" s="130" t="s">
        <v>248</v>
      </c>
      <c r="B52" s="130" t="s">
        <v>89</v>
      </c>
      <c r="C52" s="132" t="s">
        <v>65</v>
      </c>
      <c r="D52" s="132" t="s">
        <v>9</v>
      </c>
    </row>
    <row r="53" spans="1:4" x14ac:dyDescent="0.2">
      <c r="A53" s="130" t="s">
        <v>249</v>
      </c>
      <c r="B53" s="130" t="s">
        <v>90</v>
      </c>
      <c r="C53" s="132" t="s">
        <v>65</v>
      </c>
      <c r="D53" s="132" t="s">
        <v>9</v>
      </c>
    </row>
    <row r="54" spans="1:4" x14ac:dyDescent="0.2">
      <c r="A54" s="130" t="s">
        <v>250</v>
      </c>
      <c r="B54" s="130" t="s">
        <v>91</v>
      </c>
      <c r="C54" s="132" t="s">
        <v>65</v>
      </c>
      <c r="D54" s="132" t="s">
        <v>9</v>
      </c>
    </row>
    <row r="55" spans="1:4" x14ac:dyDescent="0.2">
      <c r="A55" s="130" t="s">
        <v>251</v>
      </c>
      <c r="B55" s="130" t="s">
        <v>252</v>
      </c>
      <c r="C55" s="132" t="s">
        <v>65</v>
      </c>
      <c r="D55" s="132" t="s">
        <v>9</v>
      </c>
    </row>
    <row r="56" spans="1:4" x14ac:dyDescent="0.2">
      <c r="A56" s="130" t="s">
        <v>253</v>
      </c>
      <c r="B56" s="130" t="s">
        <v>254</v>
      </c>
      <c r="C56" s="132" t="s">
        <v>113</v>
      </c>
      <c r="D56" s="132" t="s">
        <v>9</v>
      </c>
    </row>
    <row r="57" spans="1:4" x14ac:dyDescent="0.2">
      <c r="A57" s="130" t="s">
        <v>255</v>
      </c>
      <c r="B57" s="130" t="s">
        <v>256</v>
      </c>
      <c r="C57" s="132" t="s">
        <v>113</v>
      </c>
      <c r="D57" s="132" t="s">
        <v>9</v>
      </c>
    </row>
    <row r="58" spans="1:4" x14ac:dyDescent="0.2">
      <c r="A58" s="130" t="s">
        <v>257</v>
      </c>
      <c r="B58" s="130" t="s">
        <v>258</v>
      </c>
      <c r="C58" s="132" t="s">
        <v>66</v>
      </c>
      <c r="D58" s="132" t="s">
        <v>59</v>
      </c>
    </row>
    <row r="59" spans="1:4" x14ac:dyDescent="0.2">
      <c r="A59" s="130" t="s">
        <v>259</v>
      </c>
      <c r="B59" s="130" t="s">
        <v>260</v>
      </c>
      <c r="C59" s="132" t="s">
        <v>66</v>
      </c>
      <c r="D59" s="131" t="s">
        <v>60</v>
      </c>
    </row>
    <row r="60" spans="1:4" x14ac:dyDescent="0.2">
      <c r="A60" s="130" t="s">
        <v>261</v>
      </c>
      <c r="B60" s="130" t="s">
        <v>92</v>
      </c>
      <c r="C60" s="132" t="s">
        <v>66</v>
      </c>
      <c r="D60" s="132" t="s">
        <v>60</v>
      </c>
    </row>
    <row r="61" spans="1:4" x14ac:dyDescent="0.2">
      <c r="A61" s="130" t="s">
        <v>262</v>
      </c>
      <c r="B61" s="130" t="s">
        <v>93</v>
      </c>
      <c r="C61" s="132" t="s">
        <v>66</v>
      </c>
      <c r="D61" s="132" t="s">
        <v>9</v>
      </c>
    </row>
    <row r="62" spans="1:4" x14ac:dyDescent="0.2">
      <c r="A62" s="130" t="s">
        <v>263</v>
      </c>
      <c r="B62" s="130" t="s">
        <v>94</v>
      </c>
      <c r="C62" s="132" t="s">
        <v>66</v>
      </c>
      <c r="D62" s="132" t="s">
        <v>9</v>
      </c>
    </row>
    <row r="63" spans="1:4" x14ac:dyDescent="0.2">
      <c r="A63" s="130" t="s">
        <v>264</v>
      </c>
      <c r="B63" s="130" t="s">
        <v>95</v>
      </c>
      <c r="C63" s="132" t="s">
        <v>66</v>
      </c>
      <c r="D63" s="132" t="s">
        <v>60</v>
      </c>
    </row>
    <row r="64" spans="1:4" x14ac:dyDescent="0.2">
      <c r="A64" s="130" t="s">
        <v>265</v>
      </c>
      <c r="B64" s="130" t="s">
        <v>96</v>
      </c>
      <c r="C64" s="132" t="s">
        <v>66</v>
      </c>
      <c r="D64" s="132" t="s">
        <v>9</v>
      </c>
    </row>
    <row r="65" spans="1:4" x14ac:dyDescent="0.2">
      <c r="A65" s="130" t="s">
        <v>266</v>
      </c>
      <c r="B65" s="130" t="s">
        <v>97</v>
      </c>
      <c r="C65" s="132" t="s">
        <v>66</v>
      </c>
      <c r="D65" s="132" t="s">
        <v>9</v>
      </c>
    </row>
    <row r="66" spans="1:4" x14ac:dyDescent="0.2">
      <c r="A66" s="130" t="s">
        <v>267</v>
      </c>
      <c r="B66" s="130" t="s">
        <v>98</v>
      </c>
      <c r="C66" s="132" t="s">
        <v>66</v>
      </c>
      <c r="D66" s="132" t="s">
        <v>60</v>
      </c>
    </row>
    <row r="67" spans="1:4" x14ac:dyDescent="0.2">
      <c r="A67" s="130" t="s">
        <v>268</v>
      </c>
      <c r="B67" s="130" t="s">
        <v>99</v>
      </c>
      <c r="C67" s="132" t="s">
        <v>66</v>
      </c>
      <c r="D67" s="132" t="s">
        <v>60</v>
      </c>
    </row>
    <row r="68" spans="1:4" x14ac:dyDescent="0.2">
      <c r="A68" s="130" t="s">
        <v>269</v>
      </c>
      <c r="B68" s="130" t="s">
        <v>100</v>
      </c>
      <c r="C68" s="132" t="s">
        <v>66</v>
      </c>
      <c r="D68" s="132" t="s">
        <v>9</v>
      </c>
    </row>
    <row r="69" spans="1:4" x14ac:dyDescent="0.2">
      <c r="A69" s="130" t="s">
        <v>270</v>
      </c>
      <c r="B69" s="130" t="s">
        <v>101</v>
      </c>
      <c r="C69" s="132" t="s">
        <v>66</v>
      </c>
      <c r="D69" s="132" t="s">
        <v>60</v>
      </c>
    </row>
    <row r="70" spans="1:4" x14ac:dyDescent="0.2">
      <c r="A70" s="130" t="s">
        <v>271</v>
      </c>
      <c r="B70" s="130" t="s">
        <v>102</v>
      </c>
      <c r="C70" s="132" t="s">
        <v>66</v>
      </c>
      <c r="D70" s="132" t="s">
        <v>9</v>
      </c>
    </row>
    <row r="71" spans="1:4" x14ac:dyDescent="0.2">
      <c r="A71" s="130" t="s">
        <v>272</v>
      </c>
      <c r="B71" s="130" t="s">
        <v>103</v>
      </c>
      <c r="C71" s="132" t="s">
        <v>66</v>
      </c>
      <c r="D71" s="132" t="s">
        <v>60</v>
      </c>
    </row>
    <row r="72" spans="1:4" x14ac:dyDescent="0.2">
      <c r="A72" s="130" t="s">
        <v>273</v>
      </c>
      <c r="B72" s="130" t="s">
        <v>274</v>
      </c>
      <c r="C72" s="131" t="s">
        <v>66</v>
      </c>
      <c r="D72" s="131" t="s">
        <v>59</v>
      </c>
    </row>
  </sheetData>
  <sheetProtection algorithmName="SHA-512" hashValue="8PU8db2TC34qpb3yWAvcXZB1QyVQYM3qTXK5i/ZXXtVQnhdVbolRapMN6/Ceu4wLr7Zqj17kit1VsaI/FZxAGQ==" saltValue="rvRbAMkE1K0YPrKkh07lnQ==" spinCount="100000" sheet="1" objects="1" scenarios="1" selectLockedCells="1"/>
  <autoFilter ref="A1:D71" xr:uid="{00000000-0009-0000-0000-000002000000}"/>
  <sortState ref="A3:D55">
    <sortCondition ref="A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Stellenberechnung</vt:lpstr>
      <vt:lpstr>Grundlagen</vt:lpstr>
      <vt:lpstr>Institutionen</vt:lpstr>
      <vt:lpstr>Eckdaten</vt:lpstr>
      <vt:lpstr>Institutionen</vt:lpstr>
      <vt:lpstr>Mittagessen</vt:lpstr>
      <vt:lpstr>Ökonomie</vt:lpstr>
      <vt:lpstr>ZH_Nr</vt:lpstr>
    </vt:vector>
  </TitlesOfParts>
  <Company>Volksschulamt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B252hes</dc:creator>
  <cp:lastModifiedBy>Fontana-Tanner Pia</cp:lastModifiedBy>
  <cp:lastPrinted>2022-02-21T10:06:12Z</cp:lastPrinted>
  <dcterms:created xsi:type="dcterms:W3CDTF">2007-04-30T10:04:45Z</dcterms:created>
  <dcterms:modified xsi:type="dcterms:W3CDTF">2023-06-13T06:26:56Z</dcterms:modified>
</cp:coreProperties>
</file>